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eegovg01.sharepoint.com/sites/FIO_KUM/Shared Documents/FINANTSTEEMAD/EELARVED/Eelarve 2025/"/>
    </mc:Choice>
  </mc:AlternateContent>
  <xr:revisionPtr revIDLastSave="0" documentId="8_{B9BC7FCA-BB55-4521-A82C-0A053CE38CE3}" xr6:coauthVersionLast="47" xr6:coauthVersionMax="47" xr10:uidLastSave="{00000000-0000-0000-0000-000000000000}"/>
  <bookViews>
    <workbookView xWindow="-110" yWindow="-110" windowWidth="19420" windowHeight="10300" xr2:uid="{4D1749CD-7348-40E3-9063-2FA36ECE44CB}"/>
  </bookViews>
  <sheets>
    <sheet name="RETA aruanne" sheetId="1" r:id="rId1"/>
    <sheet name="lisa1 Lõpliku ea kujunemine" sheetId="4" r:id="rId2"/>
    <sheet name="lisa2 Detailne kulude jaotus" sheetId="13" r:id="rId3"/>
    <sheet name="Lisa3 RE ja TA võrdlus" sheetId="2" r:id="rId4"/>
    <sheet name="yleviimised" sheetId="3" state="hidden" r:id="rId5"/>
    <sheet name="SR" sheetId="5" state="hidden" r:id="rId6"/>
    <sheet name="VR" sheetId="7" state="hidden" r:id="rId7"/>
    <sheet name="OR" sheetId="6" state="hidden" r:id="rId8"/>
    <sheet name="finteh" sheetId="8" state="hidden" r:id="rId9"/>
    <sheet name="bilansid" sheetId="9" state="hidden" r:id="rId10"/>
    <sheet name="tulud" sheetId="10" state="hidden" r:id="rId11"/>
    <sheet name="aavordlus" sheetId="11" state="hidden" r:id="rId12"/>
    <sheet name="valalavordlus" sheetId="12" state="hidden" r:id="rId13"/>
  </sheets>
  <definedNames>
    <definedName name="_xlnm._FilterDatabase" localSheetId="9" hidden="1">bilansid!$A$8:$K$246</definedName>
    <definedName name="_xlnm._FilterDatabase" localSheetId="3" hidden="1">'Lisa3 RE ja TA võrdlus'!$A$4:$J$264</definedName>
    <definedName name="_xlnm._FilterDatabase" localSheetId="0" hidden="1">'RETA aruanne'!$A$3:$S$88</definedName>
    <definedName name="_xlnm._FilterDatabase" localSheetId="5" hidden="1">SR!$A$3:$O$212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46" i="13" l="1"/>
  <c r="F220" i="13" s="1"/>
  <c r="D246" i="13"/>
  <c r="E247" i="13"/>
  <c r="E181" i="13"/>
  <c r="F181" i="13"/>
  <c r="D181" i="13"/>
  <c r="E158" i="13"/>
  <c r="F158" i="13"/>
  <c r="D158" i="13"/>
  <c r="E136" i="13"/>
  <c r="G136" i="13" s="1"/>
  <c r="E147" i="13"/>
  <c r="F147" i="13"/>
  <c r="D147" i="13"/>
  <c r="G148" i="13"/>
  <c r="G97" i="13"/>
  <c r="E108" i="13"/>
  <c r="F108" i="13"/>
  <c r="D108" i="13"/>
  <c r="G109" i="13"/>
  <c r="G158" i="13" l="1"/>
  <c r="E230" i="13"/>
  <c r="G75" i="13" l="1"/>
  <c r="E23" i="13"/>
  <c r="F23" i="13"/>
  <c r="D23" i="13"/>
  <c r="F482" i="13" l="1"/>
  <c r="F471" i="13"/>
  <c r="F437" i="13"/>
  <c r="F411" i="13"/>
  <c r="F399" i="13"/>
  <c r="H392" i="13"/>
  <c r="I392" i="13"/>
  <c r="J392" i="13"/>
  <c r="K392" i="13"/>
  <c r="L392" i="13"/>
  <c r="M392" i="13"/>
  <c r="N392" i="13"/>
  <c r="O392" i="13"/>
  <c r="P392" i="13"/>
  <c r="Q392" i="13"/>
  <c r="F385" i="13"/>
  <c r="F369" i="13"/>
  <c r="F353" i="13"/>
  <c r="F356" i="13"/>
  <c r="F332" i="13"/>
  <c r="E337" i="13"/>
  <c r="E328" i="13"/>
  <c r="F310" i="13"/>
  <c r="H310" i="13"/>
  <c r="I310" i="13"/>
  <c r="J310" i="13"/>
  <c r="K310" i="13"/>
  <c r="L310" i="13"/>
  <c r="M310" i="13"/>
  <c r="N310" i="13"/>
  <c r="O310" i="13"/>
  <c r="P310" i="13"/>
  <c r="Q310" i="13"/>
  <c r="E315" i="13"/>
  <c r="E307" i="13"/>
  <c r="H299" i="13"/>
  <c r="I299" i="13"/>
  <c r="J299" i="13"/>
  <c r="K299" i="13"/>
  <c r="L299" i="13"/>
  <c r="M299" i="13"/>
  <c r="N299" i="13"/>
  <c r="O299" i="13"/>
  <c r="P299" i="13"/>
  <c r="Q299" i="13"/>
  <c r="F290" i="13"/>
  <c r="H290" i="13"/>
  <c r="I290" i="13"/>
  <c r="J290" i="13"/>
  <c r="K290" i="13"/>
  <c r="L290" i="13"/>
  <c r="M290" i="13"/>
  <c r="N290" i="13"/>
  <c r="O290" i="13"/>
  <c r="P290" i="13"/>
  <c r="Q290" i="13"/>
  <c r="F294" i="13"/>
  <c r="H294" i="13"/>
  <c r="I294" i="13"/>
  <c r="J294" i="13"/>
  <c r="K294" i="13"/>
  <c r="L294" i="13"/>
  <c r="M294" i="13"/>
  <c r="N294" i="13"/>
  <c r="O294" i="13"/>
  <c r="P294" i="13"/>
  <c r="Q294" i="13"/>
  <c r="F268" i="13"/>
  <c r="F242" i="13"/>
  <c r="F196" i="13"/>
  <c r="F171" i="13"/>
  <c r="F84" i="13"/>
  <c r="F30" i="13"/>
  <c r="I110" i="13"/>
  <c r="I188" i="13"/>
  <c r="I264" i="13"/>
  <c r="I265" i="13"/>
  <c r="I287" i="13"/>
  <c r="I383" i="13"/>
  <c r="I410" i="13"/>
  <c r="E8" i="1"/>
  <c r="E83" i="1"/>
  <c r="E75" i="1"/>
  <c r="E77" i="1"/>
  <c r="D83" i="1" l="1"/>
  <c r="E269" i="13"/>
  <c r="C7" i="4"/>
  <c r="D66" i="1"/>
  <c r="I307" i="13"/>
  <c r="D84" i="1"/>
  <c r="E258" i="13" l="1"/>
  <c r="E88" i="1"/>
  <c r="I328" i="13" l="1"/>
  <c r="E478" i="13"/>
  <c r="F478" i="13"/>
  <c r="D478" i="13"/>
  <c r="E430" i="13"/>
  <c r="I430" i="13" s="1"/>
  <c r="E84" i="1" l="1"/>
  <c r="E471" i="13"/>
  <c r="D471" i="13"/>
  <c r="I471" i="13" s="1"/>
  <c r="E466" i="13"/>
  <c r="F466" i="13"/>
  <c r="D466" i="13"/>
  <c r="G472" i="13"/>
  <c r="D433" i="13"/>
  <c r="D424" i="13"/>
  <c r="D423" i="13"/>
  <c r="D422" i="13"/>
  <c r="D427" i="13"/>
  <c r="E421" i="13"/>
  <c r="F421" i="13"/>
  <c r="D421" i="13"/>
  <c r="E440" i="13"/>
  <c r="E439" i="13"/>
  <c r="E437" i="13" s="1"/>
  <c r="N430" i="13"/>
  <c r="F408" i="13"/>
  <c r="E407" i="13"/>
  <c r="F407" i="13"/>
  <c r="F406" i="13" s="1"/>
  <c r="D407" i="13"/>
  <c r="G412" i="13"/>
  <c r="E402" i="13"/>
  <c r="E401" i="13"/>
  <c r="E393" i="13"/>
  <c r="F393" i="13"/>
  <c r="D393" i="13"/>
  <c r="F379" i="13"/>
  <c r="D379" i="13"/>
  <c r="F382" i="13"/>
  <c r="D382" i="13"/>
  <c r="E378" i="13"/>
  <c r="F378" i="13"/>
  <c r="D378" i="13"/>
  <c r="E388" i="13"/>
  <c r="E387" i="13"/>
  <c r="F274" i="13"/>
  <c r="E274" i="13"/>
  <c r="D274" i="13"/>
  <c r="E283" i="13"/>
  <c r="I283" i="13" s="1"/>
  <c r="E362" i="13"/>
  <c r="F362" i="13"/>
  <c r="G370" i="13"/>
  <c r="D362" i="13"/>
  <c r="E372" i="13"/>
  <c r="E371" i="13"/>
  <c r="D369" i="13"/>
  <c r="E368" i="13"/>
  <c r="I368" i="13" s="1"/>
  <c r="E367" i="13"/>
  <c r="I367" i="13" s="1"/>
  <c r="E345" i="13"/>
  <c r="F345" i="13"/>
  <c r="D345" i="13"/>
  <c r="D353" i="13"/>
  <c r="G354" i="13"/>
  <c r="E359" i="13"/>
  <c r="E358" i="13"/>
  <c r="E356" i="13" s="1"/>
  <c r="D356" i="13"/>
  <c r="G357" i="13"/>
  <c r="E351" i="13"/>
  <c r="I351" i="13" s="1"/>
  <c r="E350" i="13"/>
  <c r="I350" i="13" s="1"/>
  <c r="E399" i="13" l="1"/>
  <c r="E379" i="13"/>
  <c r="E385" i="13"/>
  <c r="E369" i="13"/>
  <c r="I369" i="13" s="1"/>
  <c r="G362" i="13"/>
  <c r="G466" i="13"/>
  <c r="I356" i="13"/>
  <c r="D464" i="13"/>
  <c r="G421" i="13"/>
  <c r="G407" i="13"/>
  <c r="G378" i="13"/>
  <c r="G345" i="13"/>
  <c r="G393" i="13"/>
  <c r="F325" i="13"/>
  <c r="D325" i="13"/>
  <c r="D326" i="13"/>
  <c r="G329" i="13"/>
  <c r="F339" i="13"/>
  <c r="F336" i="13" s="1"/>
  <c r="F320" i="13"/>
  <c r="D320" i="13"/>
  <c r="G337" i="13"/>
  <c r="F328" i="13"/>
  <c r="F326" i="13" s="1"/>
  <c r="G333" i="13"/>
  <c r="E335" i="13"/>
  <c r="E334" i="13"/>
  <c r="D332" i="13"/>
  <c r="F300" i="13"/>
  <c r="D300" i="13"/>
  <c r="F304" i="13"/>
  <c r="D304" i="13"/>
  <c r="D303" i="13"/>
  <c r="E303" i="13"/>
  <c r="D302" i="13"/>
  <c r="D301" i="13"/>
  <c r="D310" i="13"/>
  <c r="F307" i="13"/>
  <c r="F317" i="13"/>
  <c r="F314" i="13" s="1"/>
  <c r="G315" i="13"/>
  <c r="D314" i="13"/>
  <c r="E317" i="13"/>
  <c r="E316" i="13"/>
  <c r="E314" i="13" s="1"/>
  <c r="G311" i="13"/>
  <c r="E306" i="13"/>
  <c r="I306" i="13" s="1"/>
  <c r="E282" i="13"/>
  <c r="I282" i="13" s="1"/>
  <c r="F280" i="13"/>
  <c r="D280" i="13"/>
  <c r="D277" i="13"/>
  <c r="F276" i="13"/>
  <c r="D276" i="13"/>
  <c r="D275" i="13"/>
  <c r="E293" i="13"/>
  <c r="E292" i="13"/>
  <c r="E290" i="13" s="1"/>
  <c r="D290" i="13"/>
  <c r="D294" i="13"/>
  <c r="E296" i="13"/>
  <c r="E294" i="13" s="1"/>
  <c r="E285" i="13"/>
  <c r="I285" i="13" s="1"/>
  <c r="E284" i="13"/>
  <c r="I284" i="13" s="1"/>
  <c r="G291" i="13"/>
  <c r="G295" i="13"/>
  <c r="F260" i="13"/>
  <c r="D260" i="13"/>
  <c r="F259" i="13"/>
  <c r="D259" i="13"/>
  <c r="D268" i="13"/>
  <c r="G258" i="13"/>
  <c r="E272" i="13"/>
  <c r="E271" i="13"/>
  <c r="E260" i="13" s="1"/>
  <c r="E270" i="13"/>
  <c r="G269" i="13"/>
  <c r="F263" i="13"/>
  <c r="E266" i="13"/>
  <c r="I266" i="13" s="1"/>
  <c r="D233" i="13"/>
  <c r="F234" i="13"/>
  <c r="F231" i="13"/>
  <c r="F232" i="13"/>
  <c r="F230" i="13"/>
  <c r="D230" i="13"/>
  <c r="D242" i="13"/>
  <c r="G243" i="13"/>
  <c r="E249" i="13"/>
  <c r="E248" i="13"/>
  <c r="E246" i="13" s="1"/>
  <c r="G247" i="13"/>
  <c r="E182" i="13"/>
  <c r="F193" i="13"/>
  <c r="F60" i="13"/>
  <c r="F79" i="13"/>
  <c r="F168" i="13"/>
  <c r="F167" i="13" s="1"/>
  <c r="E94" i="13"/>
  <c r="E86" i="13"/>
  <c r="E32" i="13"/>
  <c r="E33" i="13"/>
  <c r="F433" i="13"/>
  <c r="F286" i="13"/>
  <c r="F281" i="13" s="1"/>
  <c r="F238" i="13"/>
  <c r="F235" i="13" s="1"/>
  <c r="E332" i="13" l="1"/>
  <c r="E259" i="13"/>
  <c r="E268" i="13"/>
  <c r="I268" i="13" s="1"/>
  <c r="F254" i="13"/>
  <c r="D254" i="13"/>
  <c r="E320" i="13"/>
  <c r="G320" i="13" s="1"/>
  <c r="I332" i="13"/>
  <c r="F322" i="13"/>
  <c r="D299" i="13"/>
  <c r="E300" i="13"/>
  <c r="G300" i="13" s="1"/>
  <c r="F302" i="13"/>
  <c r="I314" i="13"/>
  <c r="E276" i="13"/>
  <c r="G274" i="13"/>
  <c r="G230" i="13"/>
  <c r="F233" i="13"/>
  <c r="F229" i="13" s="1"/>
  <c r="I246" i="13"/>
  <c r="G31" i="13"/>
  <c r="G23" i="13" l="1"/>
  <c r="J240" i="13"/>
  <c r="J239" i="13"/>
  <c r="L235" i="13"/>
  <c r="E238" i="13"/>
  <c r="I238" i="13" s="1"/>
  <c r="E237" i="13"/>
  <c r="I237" i="13" s="1"/>
  <c r="E236" i="13"/>
  <c r="I236" i="13" s="1"/>
  <c r="N237" i="13"/>
  <c r="N236" i="13"/>
  <c r="E226" i="13"/>
  <c r="I226" i="13" s="1"/>
  <c r="E481" i="13"/>
  <c r="I481" i="13" s="1"/>
  <c r="G483" i="13"/>
  <c r="D482" i="13"/>
  <c r="E458" i="13"/>
  <c r="I458" i="13" s="1"/>
  <c r="E457" i="13"/>
  <c r="I457" i="13" s="1"/>
  <c r="G438" i="13"/>
  <c r="J428" i="13"/>
  <c r="N433" i="13"/>
  <c r="N429" i="13"/>
  <c r="E431" i="13"/>
  <c r="I431" i="13" s="1"/>
  <c r="E429" i="13"/>
  <c r="I429" i="13" s="1"/>
  <c r="E432" i="13"/>
  <c r="I432" i="13" s="1"/>
  <c r="G400" i="13"/>
  <c r="E398" i="13"/>
  <c r="I398" i="13" s="1"/>
  <c r="E397" i="13"/>
  <c r="I397" i="13" s="1"/>
  <c r="G386" i="13"/>
  <c r="E384" i="13"/>
  <c r="I384" i="13" s="1"/>
  <c r="E214" i="13"/>
  <c r="I214" i="13" s="1"/>
  <c r="E206" i="13"/>
  <c r="I206" i="13" s="1"/>
  <c r="E190" i="13"/>
  <c r="I190" i="13" s="1"/>
  <c r="E189" i="13"/>
  <c r="I189" i="13" s="1"/>
  <c r="G197" i="13"/>
  <c r="F178" i="13"/>
  <c r="E196" i="13"/>
  <c r="E178" i="13" s="1"/>
  <c r="D196" i="13"/>
  <c r="G172" i="13"/>
  <c r="D171" i="13"/>
  <c r="E141" i="13"/>
  <c r="I141" i="13" s="1"/>
  <c r="I149" i="13"/>
  <c r="E122" i="13"/>
  <c r="I122" i="13" s="1"/>
  <c r="E102" i="13"/>
  <c r="I102" i="13" s="1"/>
  <c r="G85" i="13"/>
  <c r="E66" i="13"/>
  <c r="I66" i="13" s="1"/>
  <c r="E82" i="13"/>
  <c r="I82" i="13" s="1"/>
  <c r="E40" i="13"/>
  <c r="I40" i="13" s="1"/>
  <c r="E29" i="13"/>
  <c r="I29" i="13" s="1"/>
  <c r="E28" i="13"/>
  <c r="I28" i="13" s="1"/>
  <c r="F428" i="13"/>
  <c r="F279" i="13"/>
  <c r="F347" i="13"/>
  <c r="E355" i="13"/>
  <c r="E353" i="13" s="1"/>
  <c r="F348" i="13"/>
  <c r="F349" i="13"/>
  <c r="G352" i="13"/>
  <c r="E331" i="13"/>
  <c r="G331" i="13" s="1"/>
  <c r="F330" i="13"/>
  <c r="D330" i="13"/>
  <c r="F324" i="13"/>
  <c r="G324" i="13" s="1"/>
  <c r="F323" i="13"/>
  <c r="G323" i="13" s="1"/>
  <c r="G342" i="13"/>
  <c r="G341" i="13"/>
  <c r="G340" i="13"/>
  <c r="F301" i="13"/>
  <c r="F303" i="13"/>
  <c r="G303" i="13" s="1"/>
  <c r="G308" i="13"/>
  <c r="G309" i="13"/>
  <c r="E313" i="13"/>
  <c r="E312" i="13"/>
  <c r="E310" i="13" s="1"/>
  <c r="F305" i="13"/>
  <c r="D288" i="13"/>
  <c r="F288" i="13"/>
  <c r="G297" i="13"/>
  <c r="G287" i="13"/>
  <c r="G264" i="13"/>
  <c r="G265" i="13"/>
  <c r="F427" i="13"/>
  <c r="D435" i="13"/>
  <c r="F435" i="13"/>
  <c r="F416" i="13" s="1"/>
  <c r="G434" i="13"/>
  <c r="G410" i="13"/>
  <c r="F409" i="13"/>
  <c r="F404" i="13" s="1"/>
  <c r="E52" i="1" s="1"/>
  <c r="D409" i="13"/>
  <c r="G383" i="13"/>
  <c r="F375" i="13"/>
  <c r="F240" i="13"/>
  <c r="F218" i="13" s="1"/>
  <c r="G218" i="13" s="1"/>
  <c r="E245" i="13"/>
  <c r="G245" i="13" s="1"/>
  <c r="E244" i="13"/>
  <c r="F219" i="13"/>
  <c r="D241" i="13"/>
  <c r="D234" i="13" s="1"/>
  <c r="F227" i="13"/>
  <c r="F221" i="13" s="1"/>
  <c r="G239" i="13"/>
  <c r="F194" i="13"/>
  <c r="F185" i="13" s="1"/>
  <c r="F192" i="13"/>
  <c r="F187" i="13"/>
  <c r="F176" i="13" s="1"/>
  <c r="F182" i="13"/>
  <c r="G188" i="13"/>
  <c r="F169" i="13"/>
  <c r="F161" i="13" s="1"/>
  <c r="F145" i="13"/>
  <c r="F143" i="13"/>
  <c r="F126" i="13"/>
  <c r="F124" i="13"/>
  <c r="F94" i="13"/>
  <c r="G94" i="13" s="1"/>
  <c r="G110" i="13"/>
  <c r="F106" i="13"/>
  <c r="F99" i="13" s="1"/>
  <c r="F104" i="13"/>
  <c r="F68" i="13"/>
  <c r="F70" i="13"/>
  <c r="F256" i="13"/>
  <c r="F64" i="13"/>
  <c r="E90" i="13"/>
  <c r="G90" i="13" s="1"/>
  <c r="F419" i="13"/>
  <c r="G79" i="13"/>
  <c r="G89" i="13"/>
  <c r="F78" i="13"/>
  <c r="G88" i="13"/>
  <c r="G108" i="13" l="1"/>
  <c r="G171" i="13"/>
  <c r="E242" i="13"/>
  <c r="I242" i="13" s="1"/>
  <c r="F299" i="13"/>
  <c r="G478" i="13"/>
  <c r="G482" i="13"/>
  <c r="G196" i="13"/>
  <c r="I196" i="13"/>
  <c r="I187" i="13"/>
  <c r="E233" i="13"/>
  <c r="G432" i="13"/>
  <c r="E382" i="13"/>
  <c r="F54" i="13"/>
  <c r="F47" i="13" s="1"/>
  <c r="F12" i="13" s="1"/>
  <c r="D446" i="13"/>
  <c r="D476" i="13"/>
  <c r="E235" i="13"/>
  <c r="F476" i="13"/>
  <c r="F446" i="13"/>
  <c r="G355" i="13"/>
  <c r="I353" i="13"/>
  <c r="G312" i="13"/>
  <c r="G313" i="13"/>
  <c r="E302" i="13"/>
  <c r="G244" i="13"/>
  <c r="G182" i="13"/>
  <c r="E187" i="13"/>
  <c r="G60" i="13"/>
  <c r="N434" i="13"/>
  <c r="E482" i="13"/>
  <c r="I482" i="13" s="1"/>
  <c r="F415" i="13"/>
  <c r="F253" i="13"/>
  <c r="G253" i="13" s="1"/>
  <c r="E171" i="13"/>
  <c r="E155" i="13" s="1"/>
  <c r="E330" i="13"/>
  <c r="G330" i="13" s="1"/>
  <c r="G416" i="13"/>
  <c r="E409" i="13"/>
  <c r="E241" i="13"/>
  <c r="E234" i="13" s="1"/>
  <c r="D240" i="13"/>
  <c r="G250" i="13"/>
  <c r="E7" i="1"/>
  <c r="D133" i="2"/>
  <c r="C139" i="2"/>
  <c r="C138" i="2"/>
  <c r="E64" i="1"/>
  <c r="D142" i="2" s="1"/>
  <c r="F487" i="13"/>
  <c r="E487" i="13"/>
  <c r="G178" i="13" l="1"/>
  <c r="G353" i="13"/>
  <c r="G242" i="13"/>
  <c r="G310" i="13"/>
  <c r="I171" i="13"/>
  <c r="E254" i="13"/>
  <c r="E219" i="13"/>
  <c r="E476" i="13"/>
  <c r="G476" i="13" s="1"/>
  <c r="E446" i="13"/>
  <c r="E240" i="13"/>
  <c r="G240" i="13" s="1"/>
  <c r="G409" i="13"/>
  <c r="E404" i="13"/>
  <c r="G241" i="13"/>
  <c r="C84" i="2"/>
  <c r="G234" i="13" l="1"/>
  <c r="G404" i="13"/>
  <c r="D52" i="1"/>
  <c r="C155" i="2"/>
  <c r="C154" i="2"/>
  <c r="C152" i="2"/>
  <c r="B5" i="3" l="1"/>
  <c r="F5" i="5" l="1"/>
  <c r="H6" i="2" l="1"/>
  <c r="C13" i="2"/>
  <c r="C10" i="2"/>
  <c r="F99" i="5"/>
  <c r="F101" i="5"/>
  <c r="C260" i="2"/>
  <c r="C257" i="2"/>
  <c r="C43" i="2" l="1"/>
  <c r="C178" i="2"/>
  <c r="C177" i="2"/>
  <c r="C174" i="2"/>
  <c r="C27" i="2" l="1"/>
  <c r="C106" i="2"/>
  <c r="C107" i="2"/>
  <c r="C102" i="2"/>
  <c r="C74" i="2"/>
  <c r="C88" i="2" l="1"/>
  <c r="C85" i="2"/>
  <c r="C82" i="2"/>
  <c r="C81" i="2"/>
  <c r="C77" i="2"/>
  <c r="C69" i="2" l="1"/>
  <c r="C66" i="2"/>
  <c r="C65" i="2"/>
  <c r="C63" i="2"/>
  <c r="H29" i="2" l="1"/>
  <c r="C30" i="2" l="1"/>
  <c r="D29" i="2" l="1"/>
  <c r="C51" i="2" l="1"/>
  <c r="C19" i="2" l="1"/>
  <c r="C255" i="2"/>
  <c r="B21" i="12" s="1"/>
  <c r="D254" i="2"/>
  <c r="E254" i="2" s="1"/>
  <c r="F91" i="5"/>
  <c r="F96" i="5"/>
  <c r="D236" i="2" l="1"/>
  <c r="C247" i="2"/>
  <c r="C243" i="2"/>
  <c r="F87" i="5" l="1"/>
  <c r="F75" i="5"/>
  <c r="F78" i="5"/>
  <c r="F89" i="5"/>
  <c r="F85" i="5"/>
  <c r="C231" i="2"/>
  <c r="C232" i="2"/>
  <c r="C228" i="2"/>
  <c r="C225" i="2"/>
  <c r="C227" i="2"/>
  <c r="C211" i="2"/>
  <c r="D206" i="2"/>
  <c r="F73" i="5"/>
  <c r="C201" i="2"/>
  <c r="C198" i="2"/>
  <c r="C197" i="2"/>
  <c r="C196" i="2"/>
  <c r="C195" i="2"/>
  <c r="C194" i="2"/>
  <c r="F62" i="5"/>
  <c r="H186" i="2" l="1"/>
  <c r="I186" i="2" s="1"/>
  <c r="D186" i="2"/>
  <c r="E186" i="2" s="1"/>
  <c r="C181" i="2"/>
  <c r="C176" i="2"/>
  <c r="C175" i="2"/>
  <c r="I148" i="5"/>
  <c r="H148" i="5"/>
  <c r="G148" i="5"/>
  <c r="F148" i="5"/>
  <c r="E148" i="5"/>
  <c r="D148" i="5"/>
  <c r="C148" i="5"/>
  <c r="B148" i="5"/>
  <c r="A148" i="5"/>
  <c r="C162" i="2" l="1"/>
  <c r="F50" i="5"/>
  <c r="G44" i="5" l="1"/>
  <c r="C159" i="2" l="1"/>
  <c r="D150" i="2"/>
  <c r="C142" i="2"/>
  <c r="C136" i="2"/>
  <c r="E95" i="10" l="1"/>
  <c r="E94" i="10" s="1"/>
  <c r="C80" i="10"/>
  <c r="D54" i="10"/>
  <c r="D71" i="10" s="1"/>
  <c r="D41" i="10"/>
  <c r="D92" i="10" s="1"/>
  <c r="G92" i="10" s="1"/>
  <c r="Q28" i="10"/>
  <c r="C30" i="10"/>
  <c r="R10" i="10" l="1"/>
  <c r="C1" i="10" l="1"/>
  <c r="C138" i="10"/>
  <c r="C10" i="10"/>
  <c r="C9" i="10"/>
  <c r="C11" i="10"/>
  <c r="C8" i="10"/>
  <c r="C12" i="10"/>
  <c r="C3" i="10"/>
  <c r="C6" i="10"/>
  <c r="C5" i="10"/>
  <c r="C4" i="10"/>
  <c r="C7" i="10"/>
  <c r="Q10" i="10" l="1"/>
  <c r="C41" i="10"/>
  <c r="F41" i="10" s="1"/>
  <c r="D64" i="1" l="1"/>
  <c r="F28" i="5"/>
  <c r="F27" i="5"/>
  <c r="F37" i="5"/>
  <c r="F32" i="5"/>
  <c r="C119" i="2"/>
  <c r="C116" i="2"/>
  <c r="C122" i="2"/>
  <c r="C123" i="2"/>
  <c r="C118" i="2"/>
  <c r="C115" i="2"/>
  <c r="C114" i="2"/>
  <c r="D110" i="2" l="1"/>
  <c r="D98" i="2" l="1"/>
  <c r="C89" i="2" l="1"/>
  <c r="C70" i="2"/>
  <c r="C59" i="2"/>
  <c r="K59" i="2" s="1"/>
  <c r="C54" i="2" l="1"/>
  <c r="C46" i="2"/>
  <c r="C34" i="2"/>
  <c r="G4" i="7" l="1"/>
  <c r="I188" i="5" l="1"/>
  <c r="H188" i="5"/>
  <c r="F188" i="5"/>
  <c r="E188" i="5"/>
  <c r="D188" i="5"/>
  <c r="C188" i="5"/>
  <c r="B188" i="5"/>
  <c r="A188" i="5"/>
  <c r="G84" i="5"/>
  <c r="G188" i="5" s="1"/>
  <c r="I144" i="5"/>
  <c r="H144" i="5"/>
  <c r="F144" i="5"/>
  <c r="E144" i="5"/>
  <c r="D144" i="5"/>
  <c r="C144" i="5"/>
  <c r="B144" i="5"/>
  <c r="A144" i="5"/>
  <c r="G40" i="5"/>
  <c r="G144" i="5" s="1"/>
  <c r="N8" i="5"/>
  <c r="J27" i="7" l="1"/>
  <c r="I27" i="7"/>
  <c r="H27" i="7"/>
  <c r="G27" i="7"/>
  <c r="F27" i="7"/>
  <c r="E27" i="7"/>
  <c r="D27" i="7"/>
  <c r="C27" i="7"/>
  <c r="B27" i="7"/>
  <c r="A27" i="7"/>
  <c r="J23" i="7"/>
  <c r="I23" i="7"/>
  <c r="G23" i="7"/>
  <c r="F23" i="7"/>
  <c r="E23" i="7"/>
  <c r="D23" i="7"/>
  <c r="C23" i="7"/>
  <c r="B23" i="7"/>
  <c r="A23" i="7"/>
  <c r="H6" i="7"/>
  <c r="H23" i="7" s="1"/>
  <c r="H10" i="7"/>
  <c r="O9" i="7"/>
  <c r="Q11" i="3"/>
  <c r="L11" i="3"/>
  <c r="L20" i="3"/>
  <c r="I171" i="5"/>
  <c r="H171" i="5"/>
  <c r="F171" i="5"/>
  <c r="E171" i="5"/>
  <c r="D171" i="5"/>
  <c r="C171" i="5"/>
  <c r="B171" i="5"/>
  <c r="A171" i="5"/>
  <c r="G67" i="5"/>
  <c r="G171" i="5" s="1"/>
  <c r="C14" i="4"/>
  <c r="N57" i="11" l="1"/>
  <c r="B10" i="10"/>
  <c r="B41" i="10" s="1"/>
  <c r="F238" i="9"/>
  <c r="F237" i="9"/>
  <c r="F230" i="9"/>
  <c r="F229" i="9"/>
  <c r="F227" i="9"/>
  <c r="F111" i="9"/>
  <c r="F102" i="9"/>
  <c r="F101" i="9"/>
  <c r="F90" i="9"/>
  <c r="F7" i="9"/>
  <c r="F6" i="9"/>
  <c r="F5" i="9"/>
  <c r="F4" i="9" s="1"/>
  <c r="I245" i="9"/>
  <c r="I244" i="9"/>
  <c r="I238" i="9"/>
  <c r="I230" i="9"/>
  <c r="I229" i="9"/>
  <c r="I227" i="9"/>
  <c r="I226" i="9"/>
  <c r="I175" i="9"/>
  <c r="I5" i="9" s="1"/>
  <c r="I4" i="9" s="1"/>
  <c r="I132" i="9"/>
  <c r="I111" i="9"/>
  <c r="I110" i="9"/>
  <c r="I102" i="9"/>
  <c r="I6" i="9" s="1"/>
  <c r="I90" i="9"/>
  <c r="C44" i="6"/>
  <c r="B44" i="6"/>
  <c r="A44" i="6"/>
  <c r="I43" i="6"/>
  <c r="H43" i="6"/>
  <c r="F43" i="6"/>
  <c r="E43" i="6"/>
  <c r="D43" i="6"/>
  <c r="C43" i="6"/>
  <c r="B43" i="6"/>
  <c r="A43" i="6"/>
  <c r="I42" i="6"/>
  <c r="H42" i="6"/>
  <c r="F42" i="6"/>
  <c r="E42" i="6"/>
  <c r="D42" i="6"/>
  <c r="C42" i="6"/>
  <c r="B42" i="6"/>
  <c r="A42" i="6"/>
  <c r="I41" i="6"/>
  <c r="H41" i="6"/>
  <c r="F41" i="6"/>
  <c r="E41" i="6"/>
  <c r="D41" i="6"/>
  <c r="C41" i="6"/>
  <c r="B41" i="6"/>
  <c r="A41" i="6"/>
  <c r="I40" i="6"/>
  <c r="H40" i="6"/>
  <c r="F40" i="6"/>
  <c r="E40" i="6"/>
  <c r="D40" i="6"/>
  <c r="C40" i="6"/>
  <c r="B40" i="6"/>
  <c r="A40" i="6"/>
  <c r="I39" i="6"/>
  <c r="H39" i="6"/>
  <c r="F39" i="6"/>
  <c r="E39" i="6"/>
  <c r="D39" i="6"/>
  <c r="C39" i="6"/>
  <c r="B39" i="6"/>
  <c r="A39" i="6"/>
  <c r="I38" i="6"/>
  <c r="H38" i="6"/>
  <c r="F38" i="6"/>
  <c r="E38" i="6"/>
  <c r="D38" i="6"/>
  <c r="C38" i="6"/>
  <c r="B38" i="6"/>
  <c r="A38" i="6"/>
  <c r="I37" i="6"/>
  <c r="H37" i="6"/>
  <c r="F37" i="6"/>
  <c r="E37" i="6"/>
  <c r="D37" i="6"/>
  <c r="C37" i="6"/>
  <c r="B37" i="6"/>
  <c r="A37" i="6"/>
  <c r="I36" i="6"/>
  <c r="H36" i="6"/>
  <c r="F36" i="6"/>
  <c r="E36" i="6"/>
  <c r="D36" i="6"/>
  <c r="C36" i="6"/>
  <c r="B36" i="6"/>
  <c r="A36" i="6"/>
  <c r="I35" i="6"/>
  <c r="H35" i="6"/>
  <c r="F35" i="6"/>
  <c r="E35" i="6"/>
  <c r="D35" i="6"/>
  <c r="C35" i="6"/>
  <c r="B35" i="6"/>
  <c r="A35" i="6"/>
  <c r="I34" i="6"/>
  <c r="H34" i="6"/>
  <c r="F34" i="6"/>
  <c r="E34" i="6"/>
  <c r="D34" i="6"/>
  <c r="C34" i="6"/>
  <c r="B34" i="6"/>
  <c r="A34" i="6"/>
  <c r="I33" i="6"/>
  <c r="H33" i="6"/>
  <c r="F33" i="6"/>
  <c r="E33" i="6"/>
  <c r="D33" i="6"/>
  <c r="C33" i="6"/>
  <c r="B33" i="6"/>
  <c r="A33" i="6"/>
  <c r="I32" i="6"/>
  <c r="H32" i="6"/>
  <c r="F32" i="6"/>
  <c r="E32" i="6"/>
  <c r="D32" i="6"/>
  <c r="C32" i="6"/>
  <c r="B32" i="6"/>
  <c r="A32" i="6"/>
  <c r="I31" i="6"/>
  <c r="H31" i="6"/>
  <c r="F31" i="6"/>
  <c r="E31" i="6"/>
  <c r="D31" i="6"/>
  <c r="C31" i="6"/>
  <c r="B31" i="6"/>
  <c r="A31" i="6"/>
  <c r="I30" i="6"/>
  <c r="H30" i="6"/>
  <c r="F30" i="6"/>
  <c r="E30" i="6"/>
  <c r="D30" i="6"/>
  <c r="C30" i="6"/>
  <c r="B30" i="6"/>
  <c r="A30" i="6"/>
  <c r="I29" i="6"/>
  <c r="H29" i="6"/>
  <c r="F29" i="6"/>
  <c r="E29" i="6"/>
  <c r="D29" i="6"/>
  <c r="C29" i="6"/>
  <c r="B29" i="6"/>
  <c r="A29" i="6"/>
  <c r="I28" i="6"/>
  <c r="H28" i="6"/>
  <c r="F28" i="6"/>
  <c r="E28" i="6"/>
  <c r="D28" i="6"/>
  <c r="C28" i="6"/>
  <c r="B28" i="6"/>
  <c r="A28" i="6"/>
  <c r="I27" i="6"/>
  <c r="H27" i="6"/>
  <c r="F27" i="6"/>
  <c r="E27" i="6"/>
  <c r="D27" i="6"/>
  <c r="C27" i="6"/>
  <c r="B27" i="6"/>
  <c r="A27" i="6"/>
  <c r="P41" i="10" l="1"/>
  <c r="E41" i="10"/>
  <c r="I7" i="9"/>
  <c r="D6" i="2" l="1"/>
  <c r="D5" i="2"/>
  <c r="E485" i="13" l="1"/>
  <c r="J31" i="7" l="1"/>
  <c r="I31" i="7"/>
  <c r="G31" i="7"/>
  <c r="F31" i="7"/>
  <c r="E31" i="7"/>
  <c r="D31" i="7"/>
  <c r="C31" i="7"/>
  <c r="B31" i="7"/>
  <c r="A31" i="7"/>
  <c r="J30" i="7"/>
  <c r="I30" i="7"/>
  <c r="G30" i="7"/>
  <c r="F30" i="7"/>
  <c r="E30" i="7"/>
  <c r="D30" i="7"/>
  <c r="C30" i="7"/>
  <c r="B30" i="7"/>
  <c r="A30" i="7"/>
  <c r="H14" i="7"/>
  <c r="H31" i="7" s="1"/>
  <c r="H13" i="7"/>
  <c r="H30" i="7" s="1"/>
  <c r="D65" i="1"/>
  <c r="F10" i="10"/>
  <c r="E10" i="10"/>
  <c r="P10" i="10"/>
  <c r="G14" i="6"/>
  <c r="G36" i="6" s="1"/>
  <c r="G13" i="6"/>
  <c r="G35" i="6" s="1"/>
  <c r="J36" i="7"/>
  <c r="I36" i="7"/>
  <c r="H36" i="7"/>
  <c r="G36" i="7"/>
  <c r="F36" i="7"/>
  <c r="D36" i="7"/>
  <c r="C36" i="7"/>
  <c r="B36" i="7"/>
  <c r="A36" i="7"/>
  <c r="J35" i="7"/>
  <c r="I35" i="7"/>
  <c r="H35" i="7"/>
  <c r="G35" i="7"/>
  <c r="F35" i="7"/>
  <c r="E35" i="7"/>
  <c r="D35" i="7"/>
  <c r="C35" i="7"/>
  <c r="B35" i="7"/>
  <c r="A35" i="7"/>
  <c r="D34" i="7"/>
  <c r="C34" i="7"/>
  <c r="B34" i="7"/>
  <c r="A34" i="7"/>
  <c r="J33" i="7"/>
  <c r="I33" i="7"/>
  <c r="G33" i="7"/>
  <c r="F33" i="7"/>
  <c r="E33" i="7"/>
  <c r="D33" i="7"/>
  <c r="C33" i="7"/>
  <c r="B33" i="7"/>
  <c r="A33" i="7"/>
  <c r="J32" i="7"/>
  <c r="I32" i="7"/>
  <c r="G32" i="7"/>
  <c r="F32" i="7"/>
  <c r="E32" i="7"/>
  <c r="D32" i="7"/>
  <c r="C32" i="7"/>
  <c r="B32" i="7"/>
  <c r="A32" i="7"/>
  <c r="J29" i="7"/>
  <c r="I29" i="7"/>
  <c r="G29" i="7"/>
  <c r="F29" i="7"/>
  <c r="E29" i="7"/>
  <c r="D29" i="7"/>
  <c r="C29" i="7"/>
  <c r="B29" i="7"/>
  <c r="A29" i="7"/>
  <c r="J28" i="7"/>
  <c r="I28" i="7"/>
  <c r="G28" i="7"/>
  <c r="F28" i="7"/>
  <c r="E28" i="7"/>
  <c r="D28" i="7"/>
  <c r="C28" i="7"/>
  <c r="B28" i="7"/>
  <c r="A28" i="7"/>
  <c r="J26" i="7"/>
  <c r="I26" i="7"/>
  <c r="G26" i="7"/>
  <c r="F26" i="7"/>
  <c r="E26" i="7"/>
  <c r="D26" i="7"/>
  <c r="C26" i="7"/>
  <c r="B26" i="7"/>
  <c r="A26" i="7"/>
  <c r="J25" i="7"/>
  <c r="I25" i="7"/>
  <c r="G25" i="7"/>
  <c r="F25" i="7"/>
  <c r="E25" i="7"/>
  <c r="D25" i="7"/>
  <c r="C25" i="7"/>
  <c r="B25" i="7"/>
  <c r="A25" i="7"/>
  <c r="J24" i="7"/>
  <c r="I24" i="7"/>
  <c r="G24" i="7"/>
  <c r="F24" i="7"/>
  <c r="E24" i="7"/>
  <c r="D24" i="7"/>
  <c r="C24" i="7"/>
  <c r="B24" i="7"/>
  <c r="A24" i="7"/>
  <c r="J22" i="7"/>
  <c r="I22" i="7"/>
  <c r="G22" i="7"/>
  <c r="F22" i="7"/>
  <c r="E22" i="7"/>
  <c r="D22" i="7"/>
  <c r="C22" i="7"/>
  <c r="B22" i="7"/>
  <c r="A22" i="7"/>
  <c r="I210" i="5"/>
  <c r="H210" i="5"/>
  <c r="G210" i="5"/>
  <c r="F210" i="5"/>
  <c r="E210" i="5"/>
  <c r="D210" i="5"/>
  <c r="C210" i="5"/>
  <c r="B210" i="5"/>
  <c r="A210" i="5"/>
  <c r="D209" i="5"/>
  <c r="C209" i="5"/>
  <c r="B209" i="5"/>
  <c r="A209" i="5"/>
  <c r="I208" i="5"/>
  <c r="H208" i="5"/>
  <c r="F208" i="5"/>
  <c r="E208" i="5"/>
  <c r="D208" i="5"/>
  <c r="C208" i="5"/>
  <c r="B208" i="5"/>
  <c r="A208" i="5"/>
  <c r="I207" i="5"/>
  <c r="H207" i="5"/>
  <c r="F207" i="5"/>
  <c r="E207" i="5"/>
  <c r="D207" i="5"/>
  <c r="C207" i="5"/>
  <c r="B207" i="5"/>
  <c r="A207" i="5"/>
  <c r="I206" i="5"/>
  <c r="H206" i="5"/>
  <c r="F206" i="5"/>
  <c r="E206" i="5"/>
  <c r="D206" i="5"/>
  <c r="C206" i="5"/>
  <c r="B206" i="5"/>
  <c r="A206" i="5"/>
  <c r="I205" i="5"/>
  <c r="H205" i="5"/>
  <c r="F205" i="5"/>
  <c r="E205" i="5"/>
  <c r="D205" i="5"/>
  <c r="C205" i="5"/>
  <c r="B205" i="5"/>
  <c r="A205" i="5"/>
  <c r="I204" i="5"/>
  <c r="H204" i="5"/>
  <c r="F204" i="5"/>
  <c r="E204" i="5"/>
  <c r="D204" i="5"/>
  <c r="C204" i="5"/>
  <c r="B204" i="5"/>
  <c r="A204" i="5"/>
  <c r="I203" i="5"/>
  <c r="H203" i="5"/>
  <c r="F203" i="5"/>
  <c r="E203" i="5"/>
  <c r="D203" i="5"/>
  <c r="C203" i="5"/>
  <c r="B203" i="5"/>
  <c r="A203" i="5"/>
  <c r="I202" i="5"/>
  <c r="H202" i="5"/>
  <c r="F202" i="5"/>
  <c r="E202" i="5"/>
  <c r="D202" i="5"/>
  <c r="C202" i="5"/>
  <c r="B202" i="5"/>
  <c r="A202" i="5"/>
  <c r="I201" i="5"/>
  <c r="H201" i="5"/>
  <c r="F201" i="5"/>
  <c r="E201" i="5"/>
  <c r="D201" i="5"/>
  <c r="C201" i="5"/>
  <c r="B201" i="5"/>
  <c r="A201" i="5"/>
  <c r="I200" i="5"/>
  <c r="H200" i="5"/>
  <c r="F200" i="5"/>
  <c r="E200" i="5"/>
  <c r="D200" i="5"/>
  <c r="C200" i="5"/>
  <c r="B200" i="5"/>
  <c r="A200" i="5"/>
  <c r="I199" i="5"/>
  <c r="H199" i="5"/>
  <c r="F199" i="5"/>
  <c r="E199" i="5"/>
  <c r="D199" i="5"/>
  <c r="C199" i="5"/>
  <c r="B199" i="5"/>
  <c r="A199" i="5"/>
  <c r="I198" i="5"/>
  <c r="H198" i="5"/>
  <c r="F198" i="5"/>
  <c r="E198" i="5"/>
  <c r="D198" i="5"/>
  <c r="C198" i="5"/>
  <c r="B198" i="5"/>
  <c r="A198" i="5"/>
  <c r="I197" i="5"/>
  <c r="H197" i="5"/>
  <c r="F197" i="5"/>
  <c r="E197" i="5"/>
  <c r="D197" i="5"/>
  <c r="C197" i="5"/>
  <c r="B197" i="5"/>
  <c r="A197" i="5"/>
  <c r="I196" i="5"/>
  <c r="H196" i="5"/>
  <c r="F196" i="5"/>
  <c r="E196" i="5"/>
  <c r="D196" i="5"/>
  <c r="C196" i="5"/>
  <c r="B196" i="5"/>
  <c r="A196" i="5"/>
  <c r="I195" i="5"/>
  <c r="H195" i="5"/>
  <c r="F195" i="5"/>
  <c r="E195" i="5"/>
  <c r="D195" i="5"/>
  <c r="C195" i="5"/>
  <c r="B195" i="5"/>
  <c r="A195" i="5"/>
  <c r="I194" i="5"/>
  <c r="H194" i="5"/>
  <c r="F194" i="5"/>
  <c r="E194" i="5"/>
  <c r="D194" i="5"/>
  <c r="C194" i="5"/>
  <c r="B194" i="5"/>
  <c r="A194" i="5"/>
  <c r="I193" i="5"/>
  <c r="H193" i="5"/>
  <c r="F193" i="5"/>
  <c r="E193" i="5"/>
  <c r="D193" i="5"/>
  <c r="C193" i="5"/>
  <c r="B193" i="5"/>
  <c r="A193" i="5"/>
  <c r="I192" i="5"/>
  <c r="H192" i="5"/>
  <c r="F192" i="5"/>
  <c r="E192" i="5"/>
  <c r="D192" i="5"/>
  <c r="C192" i="5"/>
  <c r="B192" i="5"/>
  <c r="A192" i="5"/>
  <c r="I191" i="5"/>
  <c r="H191" i="5"/>
  <c r="F191" i="5"/>
  <c r="E191" i="5"/>
  <c r="D191" i="5"/>
  <c r="C191" i="5"/>
  <c r="B191" i="5"/>
  <c r="A191" i="5"/>
  <c r="I190" i="5"/>
  <c r="H190" i="5"/>
  <c r="F190" i="5"/>
  <c r="E190" i="5"/>
  <c r="D190" i="5"/>
  <c r="C190" i="5"/>
  <c r="B190" i="5"/>
  <c r="A190" i="5"/>
  <c r="I189" i="5"/>
  <c r="H189" i="5"/>
  <c r="F189" i="5"/>
  <c r="E189" i="5"/>
  <c r="D189" i="5"/>
  <c r="C189" i="5"/>
  <c r="B189" i="5"/>
  <c r="A189" i="5"/>
  <c r="I187" i="5"/>
  <c r="H187" i="5"/>
  <c r="F187" i="5"/>
  <c r="E187" i="5"/>
  <c r="D187" i="5"/>
  <c r="C187" i="5"/>
  <c r="B187" i="5"/>
  <c r="A187" i="5"/>
  <c r="I186" i="5"/>
  <c r="H186" i="5"/>
  <c r="F186" i="5"/>
  <c r="E186" i="5"/>
  <c r="D186" i="5"/>
  <c r="C186" i="5"/>
  <c r="B186" i="5"/>
  <c r="A186" i="5"/>
  <c r="I185" i="5"/>
  <c r="H185" i="5"/>
  <c r="F185" i="5"/>
  <c r="E185" i="5"/>
  <c r="D185" i="5"/>
  <c r="C185" i="5"/>
  <c r="B185" i="5"/>
  <c r="A185" i="5"/>
  <c r="I184" i="5"/>
  <c r="H184" i="5"/>
  <c r="F184" i="5"/>
  <c r="E184" i="5"/>
  <c r="D184" i="5"/>
  <c r="C184" i="5"/>
  <c r="B184" i="5"/>
  <c r="A184" i="5"/>
  <c r="I183" i="5"/>
  <c r="H183" i="5"/>
  <c r="F183" i="5"/>
  <c r="E183" i="5"/>
  <c r="D183" i="5"/>
  <c r="C183" i="5"/>
  <c r="B183" i="5"/>
  <c r="A183" i="5"/>
  <c r="I182" i="5"/>
  <c r="H182" i="5"/>
  <c r="F182" i="5"/>
  <c r="E182" i="5"/>
  <c r="D182" i="5"/>
  <c r="C182" i="5"/>
  <c r="B182" i="5"/>
  <c r="A182" i="5"/>
  <c r="I181" i="5"/>
  <c r="H181" i="5"/>
  <c r="F181" i="5"/>
  <c r="E181" i="5"/>
  <c r="D181" i="5"/>
  <c r="C181" i="5"/>
  <c r="B181" i="5"/>
  <c r="A181" i="5"/>
  <c r="I180" i="5"/>
  <c r="H180" i="5"/>
  <c r="F180" i="5"/>
  <c r="E180" i="5"/>
  <c r="D180" i="5"/>
  <c r="C180" i="5"/>
  <c r="B180" i="5"/>
  <c r="A180" i="5"/>
  <c r="I179" i="5"/>
  <c r="H179" i="5"/>
  <c r="F179" i="5"/>
  <c r="E179" i="5"/>
  <c r="D179" i="5"/>
  <c r="C179" i="5"/>
  <c r="B179" i="5"/>
  <c r="A179" i="5"/>
  <c r="I178" i="5"/>
  <c r="H178" i="5"/>
  <c r="F178" i="5"/>
  <c r="E178" i="5"/>
  <c r="D178" i="5"/>
  <c r="C178" i="5"/>
  <c r="B178" i="5"/>
  <c r="A178" i="5"/>
  <c r="I177" i="5"/>
  <c r="H177" i="5"/>
  <c r="F177" i="5"/>
  <c r="E177" i="5"/>
  <c r="D177" i="5"/>
  <c r="C177" i="5"/>
  <c r="B177" i="5"/>
  <c r="A177" i="5"/>
  <c r="I176" i="5"/>
  <c r="H176" i="5"/>
  <c r="F176" i="5"/>
  <c r="E176" i="5"/>
  <c r="D176" i="5"/>
  <c r="C176" i="5"/>
  <c r="B176" i="5"/>
  <c r="A176" i="5"/>
  <c r="I175" i="5"/>
  <c r="H175" i="5"/>
  <c r="F175" i="5"/>
  <c r="E175" i="5"/>
  <c r="D175" i="5"/>
  <c r="C175" i="5"/>
  <c r="B175" i="5"/>
  <c r="A175" i="5"/>
  <c r="I174" i="5"/>
  <c r="H174" i="5"/>
  <c r="F174" i="5"/>
  <c r="E174" i="5"/>
  <c r="D174" i="5"/>
  <c r="C174" i="5"/>
  <c r="B174" i="5"/>
  <c r="A174" i="5"/>
  <c r="I173" i="5"/>
  <c r="H173" i="5"/>
  <c r="F173" i="5"/>
  <c r="E173" i="5"/>
  <c r="D173" i="5"/>
  <c r="C173" i="5"/>
  <c r="B173" i="5"/>
  <c r="A173" i="5"/>
  <c r="I172" i="5"/>
  <c r="H172" i="5"/>
  <c r="F172" i="5"/>
  <c r="E172" i="5"/>
  <c r="D172" i="5"/>
  <c r="C172" i="5"/>
  <c r="B172" i="5"/>
  <c r="A172" i="5"/>
  <c r="I170" i="5"/>
  <c r="H170" i="5"/>
  <c r="F170" i="5"/>
  <c r="E170" i="5"/>
  <c r="D170" i="5"/>
  <c r="C170" i="5"/>
  <c r="B170" i="5"/>
  <c r="A170" i="5"/>
  <c r="I169" i="5"/>
  <c r="H169" i="5"/>
  <c r="F169" i="5"/>
  <c r="E169" i="5"/>
  <c r="D169" i="5"/>
  <c r="C169" i="5"/>
  <c r="B169" i="5"/>
  <c r="A169" i="5"/>
  <c r="I168" i="5"/>
  <c r="H168" i="5"/>
  <c r="F168" i="5"/>
  <c r="E168" i="5"/>
  <c r="D168" i="5"/>
  <c r="C168" i="5"/>
  <c r="B168" i="5"/>
  <c r="A168" i="5"/>
  <c r="I167" i="5"/>
  <c r="H167" i="5"/>
  <c r="F167" i="5"/>
  <c r="E167" i="5"/>
  <c r="D167" i="5"/>
  <c r="C167" i="5"/>
  <c r="B167" i="5"/>
  <c r="A167" i="5"/>
  <c r="I166" i="5"/>
  <c r="H166" i="5"/>
  <c r="F166" i="5"/>
  <c r="E166" i="5"/>
  <c r="D166" i="5"/>
  <c r="C166" i="5"/>
  <c r="B166" i="5"/>
  <c r="A166" i="5"/>
  <c r="I165" i="5"/>
  <c r="H165" i="5"/>
  <c r="F165" i="5"/>
  <c r="E165" i="5"/>
  <c r="D165" i="5"/>
  <c r="C165" i="5"/>
  <c r="B165" i="5"/>
  <c r="A165" i="5"/>
  <c r="I164" i="5"/>
  <c r="H164" i="5"/>
  <c r="F164" i="5"/>
  <c r="E164" i="5"/>
  <c r="D164" i="5"/>
  <c r="C164" i="5"/>
  <c r="B164" i="5"/>
  <c r="A164" i="5"/>
  <c r="I163" i="5"/>
  <c r="H163" i="5"/>
  <c r="F163" i="5"/>
  <c r="E163" i="5"/>
  <c r="D163" i="5"/>
  <c r="C163" i="5"/>
  <c r="B163" i="5"/>
  <c r="A163" i="5"/>
  <c r="I162" i="5"/>
  <c r="H162" i="5"/>
  <c r="F162" i="5"/>
  <c r="E162" i="5"/>
  <c r="D162" i="5"/>
  <c r="C162" i="5"/>
  <c r="B162" i="5"/>
  <c r="A162" i="5"/>
  <c r="I161" i="5"/>
  <c r="H161" i="5"/>
  <c r="F161" i="5"/>
  <c r="E161" i="5"/>
  <c r="D161" i="5"/>
  <c r="C161" i="5"/>
  <c r="B161" i="5"/>
  <c r="A161" i="5"/>
  <c r="I160" i="5"/>
  <c r="H160" i="5"/>
  <c r="F160" i="5"/>
  <c r="E160" i="5"/>
  <c r="D160" i="5"/>
  <c r="C160" i="5"/>
  <c r="B160" i="5"/>
  <c r="A160" i="5"/>
  <c r="I159" i="5"/>
  <c r="H159" i="5"/>
  <c r="F159" i="5"/>
  <c r="E159" i="5"/>
  <c r="D159" i="5"/>
  <c r="C159" i="5"/>
  <c r="B159" i="5"/>
  <c r="A159" i="5"/>
  <c r="I158" i="5"/>
  <c r="H158" i="5"/>
  <c r="F158" i="5"/>
  <c r="E158" i="5"/>
  <c r="D158" i="5"/>
  <c r="C158" i="5"/>
  <c r="B158" i="5"/>
  <c r="A158" i="5"/>
  <c r="I157" i="5"/>
  <c r="H157" i="5"/>
  <c r="F157" i="5"/>
  <c r="E157" i="5"/>
  <c r="D157" i="5"/>
  <c r="C157" i="5"/>
  <c r="B157" i="5"/>
  <c r="A157" i="5"/>
  <c r="I156" i="5"/>
  <c r="H156" i="5"/>
  <c r="F156" i="5"/>
  <c r="E156" i="5"/>
  <c r="D156" i="5"/>
  <c r="C156" i="5"/>
  <c r="B156" i="5"/>
  <c r="A156" i="5"/>
  <c r="I155" i="5"/>
  <c r="H155" i="5"/>
  <c r="F155" i="5"/>
  <c r="E155" i="5"/>
  <c r="D155" i="5"/>
  <c r="C155" i="5"/>
  <c r="B155" i="5"/>
  <c r="A155" i="5"/>
  <c r="I154" i="5"/>
  <c r="H154" i="5"/>
  <c r="F154" i="5"/>
  <c r="E154" i="5"/>
  <c r="D154" i="5"/>
  <c r="C154" i="5"/>
  <c r="B154" i="5"/>
  <c r="A154" i="5"/>
  <c r="I153" i="5"/>
  <c r="H153" i="5"/>
  <c r="F153" i="5"/>
  <c r="E153" i="5"/>
  <c r="D153" i="5"/>
  <c r="C153" i="5"/>
  <c r="B153" i="5"/>
  <c r="A153" i="5"/>
  <c r="I152" i="5"/>
  <c r="H152" i="5"/>
  <c r="F152" i="5"/>
  <c r="E152" i="5"/>
  <c r="C152" i="5"/>
  <c r="B152" i="5"/>
  <c r="A152" i="5"/>
  <c r="I151" i="5"/>
  <c r="H151" i="5"/>
  <c r="F151" i="5"/>
  <c r="E151" i="5"/>
  <c r="D151" i="5"/>
  <c r="C151" i="5"/>
  <c r="B151" i="5"/>
  <c r="A151" i="5"/>
  <c r="I150" i="5"/>
  <c r="H150" i="5"/>
  <c r="F150" i="5"/>
  <c r="E150" i="5"/>
  <c r="D150" i="5"/>
  <c r="C150" i="5"/>
  <c r="B150" i="5"/>
  <c r="A150" i="5"/>
  <c r="I149" i="5"/>
  <c r="H149" i="5"/>
  <c r="F149" i="5"/>
  <c r="E149" i="5"/>
  <c r="D149" i="5"/>
  <c r="C149" i="5"/>
  <c r="B149" i="5"/>
  <c r="A149" i="5"/>
  <c r="I147" i="5"/>
  <c r="H147" i="5"/>
  <c r="F147" i="5"/>
  <c r="E147" i="5"/>
  <c r="D147" i="5"/>
  <c r="C147" i="5"/>
  <c r="B147" i="5"/>
  <c r="A147" i="5"/>
  <c r="I146" i="5"/>
  <c r="H146" i="5"/>
  <c r="F146" i="5"/>
  <c r="E146" i="5"/>
  <c r="D146" i="5"/>
  <c r="C146" i="5"/>
  <c r="B146" i="5"/>
  <c r="A146" i="5"/>
  <c r="I145" i="5"/>
  <c r="H145" i="5"/>
  <c r="F145" i="5"/>
  <c r="E145" i="5"/>
  <c r="D145" i="5"/>
  <c r="C145" i="5"/>
  <c r="B145" i="5"/>
  <c r="A145" i="5"/>
  <c r="I143" i="5"/>
  <c r="H143" i="5"/>
  <c r="F143" i="5"/>
  <c r="E143" i="5"/>
  <c r="D143" i="5"/>
  <c r="C143" i="5"/>
  <c r="B143" i="5"/>
  <c r="A143" i="5"/>
  <c r="I142" i="5"/>
  <c r="H142" i="5"/>
  <c r="F142" i="5"/>
  <c r="E142" i="5"/>
  <c r="D142" i="5"/>
  <c r="C142" i="5"/>
  <c r="B142" i="5"/>
  <c r="A142" i="5"/>
  <c r="I141" i="5"/>
  <c r="H141" i="5"/>
  <c r="F141" i="5"/>
  <c r="E141" i="5"/>
  <c r="D141" i="5"/>
  <c r="C141" i="5"/>
  <c r="B141" i="5"/>
  <c r="A141" i="5"/>
  <c r="I140" i="5"/>
  <c r="H140" i="5"/>
  <c r="F140" i="5"/>
  <c r="E140" i="5"/>
  <c r="D140" i="5"/>
  <c r="C140" i="5"/>
  <c r="B140" i="5"/>
  <c r="A140" i="5"/>
  <c r="I139" i="5"/>
  <c r="H139" i="5"/>
  <c r="F139" i="5"/>
  <c r="E139" i="5"/>
  <c r="D139" i="5"/>
  <c r="C139" i="5"/>
  <c r="B139" i="5"/>
  <c r="A139" i="5"/>
  <c r="I138" i="5"/>
  <c r="H138" i="5"/>
  <c r="F138" i="5"/>
  <c r="E138" i="5"/>
  <c r="D138" i="5"/>
  <c r="C138" i="5"/>
  <c r="B138" i="5"/>
  <c r="A138" i="5"/>
  <c r="I137" i="5"/>
  <c r="H137" i="5"/>
  <c r="F137" i="5"/>
  <c r="E137" i="5"/>
  <c r="D137" i="5"/>
  <c r="C137" i="5"/>
  <c r="B137" i="5"/>
  <c r="A137" i="5"/>
  <c r="I136" i="5"/>
  <c r="H136" i="5"/>
  <c r="F136" i="5"/>
  <c r="E136" i="5"/>
  <c r="D136" i="5"/>
  <c r="C136" i="5"/>
  <c r="B136" i="5"/>
  <c r="A136" i="5"/>
  <c r="I135" i="5"/>
  <c r="H135" i="5"/>
  <c r="F135" i="5"/>
  <c r="E135" i="5"/>
  <c r="D135" i="5"/>
  <c r="C135" i="5"/>
  <c r="B135" i="5"/>
  <c r="A135" i="5"/>
  <c r="I134" i="5"/>
  <c r="H134" i="5"/>
  <c r="F134" i="5"/>
  <c r="E134" i="5"/>
  <c r="D134" i="5"/>
  <c r="C134" i="5"/>
  <c r="B134" i="5"/>
  <c r="A134" i="5"/>
  <c r="I133" i="5"/>
  <c r="H133" i="5"/>
  <c r="F133" i="5"/>
  <c r="E133" i="5"/>
  <c r="D133" i="5"/>
  <c r="C133" i="5"/>
  <c r="B133" i="5"/>
  <c r="A133" i="5"/>
  <c r="I132" i="5"/>
  <c r="H132" i="5"/>
  <c r="F132" i="5"/>
  <c r="E132" i="5"/>
  <c r="D132" i="5"/>
  <c r="C132" i="5"/>
  <c r="B132" i="5"/>
  <c r="A132" i="5"/>
  <c r="I131" i="5"/>
  <c r="H131" i="5"/>
  <c r="F131" i="5"/>
  <c r="E131" i="5"/>
  <c r="D131" i="5"/>
  <c r="C131" i="5"/>
  <c r="B131" i="5"/>
  <c r="A131" i="5"/>
  <c r="I130" i="5"/>
  <c r="H130" i="5"/>
  <c r="F130" i="5"/>
  <c r="E130" i="5"/>
  <c r="D130" i="5"/>
  <c r="C130" i="5"/>
  <c r="B130" i="5"/>
  <c r="A130" i="5"/>
  <c r="I129" i="5"/>
  <c r="H129" i="5"/>
  <c r="F129" i="5"/>
  <c r="E129" i="5"/>
  <c r="D129" i="5"/>
  <c r="C129" i="5"/>
  <c r="B129" i="5"/>
  <c r="A129" i="5"/>
  <c r="I128" i="5"/>
  <c r="H128" i="5"/>
  <c r="F128" i="5"/>
  <c r="E128" i="5"/>
  <c r="D128" i="5"/>
  <c r="C128" i="5"/>
  <c r="B128" i="5"/>
  <c r="A128" i="5"/>
  <c r="I127" i="5"/>
  <c r="H127" i="5"/>
  <c r="F127" i="5"/>
  <c r="E127" i="5"/>
  <c r="D127" i="5"/>
  <c r="C127" i="5"/>
  <c r="B127" i="5"/>
  <c r="A127" i="5"/>
  <c r="I126" i="5"/>
  <c r="H126" i="5"/>
  <c r="F126" i="5"/>
  <c r="E126" i="5"/>
  <c r="D126" i="5"/>
  <c r="C126" i="5"/>
  <c r="B126" i="5"/>
  <c r="A126" i="5"/>
  <c r="I125" i="5"/>
  <c r="H125" i="5"/>
  <c r="F125" i="5"/>
  <c r="E125" i="5"/>
  <c r="D125" i="5"/>
  <c r="C125" i="5"/>
  <c r="B125" i="5"/>
  <c r="A125" i="5"/>
  <c r="I124" i="5"/>
  <c r="H124" i="5"/>
  <c r="F124" i="5"/>
  <c r="E124" i="5"/>
  <c r="D124" i="5"/>
  <c r="C124" i="5"/>
  <c r="B124" i="5"/>
  <c r="A124" i="5"/>
  <c r="I123" i="5"/>
  <c r="H123" i="5"/>
  <c r="F123" i="5"/>
  <c r="E123" i="5"/>
  <c r="D123" i="5"/>
  <c r="C123" i="5"/>
  <c r="B123" i="5"/>
  <c r="A123" i="5"/>
  <c r="I122" i="5"/>
  <c r="H122" i="5"/>
  <c r="F122" i="5"/>
  <c r="E122" i="5"/>
  <c r="D122" i="5"/>
  <c r="C122" i="5"/>
  <c r="B122" i="5"/>
  <c r="A122" i="5"/>
  <c r="I121" i="5"/>
  <c r="H121" i="5"/>
  <c r="F121" i="5"/>
  <c r="E121" i="5"/>
  <c r="D121" i="5"/>
  <c r="C121" i="5"/>
  <c r="B121" i="5"/>
  <c r="A121" i="5"/>
  <c r="I120" i="5"/>
  <c r="H120" i="5"/>
  <c r="F120" i="5"/>
  <c r="E120" i="5"/>
  <c r="D120" i="5"/>
  <c r="C120" i="5"/>
  <c r="B120" i="5"/>
  <c r="A120" i="5"/>
  <c r="I119" i="5"/>
  <c r="H119" i="5"/>
  <c r="F119" i="5"/>
  <c r="E119" i="5"/>
  <c r="D119" i="5"/>
  <c r="C119" i="5"/>
  <c r="B119" i="5"/>
  <c r="A119" i="5"/>
  <c r="I118" i="5"/>
  <c r="H118" i="5"/>
  <c r="F118" i="5"/>
  <c r="E118" i="5"/>
  <c r="D118" i="5"/>
  <c r="C118" i="5"/>
  <c r="B118" i="5"/>
  <c r="A118" i="5"/>
  <c r="I117" i="5"/>
  <c r="H117" i="5"/>
  <c r="F117" i="5"/>
  <c r="E117" i="5"/>
  <c r="D117" i="5"/>
  <c r="C117" i="5"/>
  <c r="B117" i="5"/>
  <c r="A117" i="5"/>
  <c r="I116" i="5"/>
  <c r="H116" i="5"/>
  <c r="F116" i="5"/>
  <c r="E116" i="5"/>
  <c r="D116" i="5"/>
  <c r="C116" i="5"/>
  <c r="B116" i="5"/>
  <c r="A116" i="5"/>
  <c r="I115" i="5"/>
  <c r="H115" i="5"/>
  <c r="F115" i="5"/>
  <c r="E115" i="5"/>
  <c r="D115" i="5"/>
  <c r="C115" i="5"/>
  <c r="B115" i="5"/>
  <c r="A115" i="5"/>
  <c r="I114" i="5"/>
  <c r="H114" i="5"/>
  <c r="F114" i="5"/>
  <c r="E114" i="5"/>
  <c r="D114" i="5"/>
  <c r="C114" i="5"/>
  <c r="B114" i="5"/>
  <c r="A114" i="5"/>
  <c r="I113" i="5"/>
  <c r="H113" i="5"/>
  <c r="F113" i="5"/>
  <c r="E113" i="5"/>
  <c r="D113" i="5"/>
  <c r="C113" i="5"/>
  <c r="B113" i="5"/>
  <c r="A113" i="5"/>
  <c r="I112" i="5"/>
  <c r="H112" i="5"/>
  <c r="F112" i="5"/>
  <c r="E112" i="5"/>
  <c r="D112" i="5"/>
  <c r="C112" i="5"/>
  <c r="B112" i="5"/>
  <c r="A112" i="5"/>
  <c r="I111" i="5"/>
  <c r="H111" i="5"/>
  <c r="F111" i="5"/>
  <c r="E111" i="5"/>
  <c r="D111" i="5"/>
  <c r="C111" i="5"/>
  <c r="B111" i="5"/>
  <c r="A111" i="5"/>
  <c r="I110" i="5"/>
  <c r="H110" i="5"/>
  <c r="F110" i="5"/>
  <c r="E110" i="5"/>
  <c r="D110" i="5"/>
  <c r="C110" i="5"/>
  <c r="B110" i="5"/>
  <c r="A110" i="5"/>
  <c r="I109" i="5"/>
  <c r="H109" i="5"/>
  <c r="F109" i="5"/>
  <c r="E109" i="5"/>
  <c r="D109" i="5"/>
  <c r="C109" i="5"/>
  <c r="B109" i="5"/>
  <c r="A109" i="5"/>
  <c r="G102" i="5"/>
  <c r="G206" i="5" s="1"/>
  <c r="G101" i="5"/>
  <c r="G205" i="5" s="1"/>
  <c r="G21" i="5"/>
  <c r="G125" i="5" s="1"/>
  <c r="G20" i="5"/>
  <c r="G124" i="5" s="1"/>
  <c r="G19" i="5"/>
  <c r="G123" i="5" s="1"/>
  <c r="L8" i="5"/>
  <c r="G56" i="5"/>
  <c r="G160" i="5" s="1"/>
  <c r="D48" i="5"/>
  <c r="D152" i="5" s="1"/>
  <c r="G55" i="5" l="1"/>
  <c r="G159" i="5" s="1"/>
  <c r="G17" i="5"/>
  <c r="G121" i="5" s="1"/>
  <c r="G16" i="5"/>
  <c r="G120" i="5" s="1"/>
  <c r="G15" i="5"/>
  <c r="G119" i="5" s="1"/>
  <c r="L12" i="3" l="1"/>
  <c r="M12" i="3"/>
  <c r="O20" i="3"/>
  <c r="O16" i="3"/>
  <c r="O12" i="3"/>
  <c r="O19" i="3" l="1"/>
  <c r="Q19" i="3"/>
  <c r="O17" i="3"/>
  <c r="Q16" i="3"/>
  <c r="M17" i="3"/>
  <c r="M16" i="3"/>
  <c r="N24" i="3"/>
  <c r="M11" i="3"/>
  <c r="L5" i="3"/>
  <c r="Q5" i="3"/>
  <c r="L21" i="3" l="1"/>
  <c r="Q21" i="3"/>
  <c r="L19" i="3"/>
  <c r="Q14" i="3"/>
  <c r="F395" i="13" l="1"/>
  <c r="F394" i="13"/>
  <c r="F392" i="13" s="1"/>
  <c r="D395" i="13"/>
  <c r="D394" i="13"/>
  <c r="F396" i="13"/>
  <c r="F390" i="13" s="1"/>
  <c r="D396" i="13"/>
  <c r="G398" i="13"/>
  <c r="G397" i="13"/>
  <c r="F381" i="13"/>
  <c r="D381" i="13"/>
  <c r="G388" i="13"/>
  <c r="G384" i="13"/>
  <c r="L17" i="3"/>
  <c r="D392" i="13" l="1"/>
  <c r="G401" i="13"/>
  <c r="G387" i="13"/>
  <c r="E395" i="13"/>
  <c r="E396" i="13"/>
  <c r="G402" i="13"/>
  <c r="E394" i="13"/>
  <c r="E392" i="13" s="1"/>
  <c r="E381" i="13"/>
  <c r="G385" i="13" l="1"/>
  <c r="G399" i="13"/>
  <c r="P12" i="3"/>
  <c r="N22" i="3"/>
  <c r="P19" i="3"/>
  <c r="L18" i="3"/>
  <c r="P17" i="3"/>
  <c r="P15" i="3"/>
  <c r="P14" i="3"/>
  <c r="O13" i="3"/>
  <c r="O22" i="3" s="1"/>
  <c r="O24" i="3" s="1"/>
  <c r="M22" i="3"/>
  <c r="M24" i="3" s="1"/>
  <c r="P11" i="3"/>
  <c r="L10" i="3"/>
  <c r="P10" i="3" s="1"/>
  <c r="P9" i="3"/>
  <c r="P8" i="3"/>
  <c r="P7" i="3"/>
  <c r="P6" i="3"/>
  <c r="P4" i="3"/>
  <c r="R22" i="3"/>
  <c r="L22" i="3" l="1"/>
  <c r="L24" i="3" s="1"/>
  <c r="P5" i="3"/>
  <c r="P13" i="3"/>
  <c r="P18" i="3"/>
  <c r="P20" i="3"/>
  <c r="P21" i="3"/>
  <c r="P16" i="3"/>
  <c r="H145" i="2"/>
  <c r="I127" i="2"/>
  <c r="H126" i="2"/>
  <c r="I126" i="2" s="1"/>
  <c r="P22" i="3" l="1"/>
  <c r="P24" i="3" s="1"/>
  <c r="Q22" i="3"/>
  <c r="Q24" i="3" s="1"/>
  <c r="H61" i="2" l="1"/>
  <c r="H83" i="2"/>
  <c r="D90" i="2"/>
  <c r="H90" i="2"/>
  <c r="G261" i="2"/>
  <c r="G260" i="2"/>
  <c r="G257" i="2"/>
  <c r="G243" i="2"/>
  <c r="G240" i="2"/>
  <c r="G232" i="2"/>
  <c r="G231" i="2"/>
  <c r="G227" i="2"/>
  <c r="G224" i="2"/>
  <c r="G215" i="2"/>
  <c r="G211" i="2"/>
  <c r="G201" i="2"/>
  <c r="G198" i="2"/>
  <c r="G197" i="2"/>
  <c r="G196" i="2"/>
  <c r="G195" i="2"/>
  <c r="G194" i="2"/>
  <c r="G185" i="2"/>
  <c r="G184" i="2"/>
  <c r="G181" i="2"/>
  <c r="G178" i="2"/>
  <c r="G177" i="2"/>
  <c r="G176" i="2"/>
  <c r="G175" i="2"/>
  <c r="G174" i="2"/>
  <c r="G167" i="2"/>
  <c r="G159" i="2"/>
  <c r="G155" i="2"/>
  <c r="G152" i="2"/>
  <c r="G148" i="2"/>
  <c r="G146" i="2"/>
  <c r="G142" i="2"/>
  <c r="G138" i="2"/>
  <c r="G136" i="2"/>
  <c r="G125" i="2"/>
  <c r="G123" i="2"/>
  <c r="G122" i="2"/>
  <c r="G119" i="2"/>
  <c r="G118" i="2"/>
  <c r="G117" i="2"/>
  <c r="G116" i="2"/>
  <c r="G115" i="2"/>
  <c r="G114" i="2"/>
  <c r="G107" i="2"/>
  <c r="G106" i="2"/>
  <c r="G102" i="2"/>
  <c r="G101" i="2"/>
  <c r="G88" i="2"/>
  <c r="G85" i="2"/>
  <c r="G84" i="2"/>
  <c r="C61" i="12" s="1"/>
  <c r="G82" i="2"/>
  <c r="G81" i="2"/>
  <c r="G75" i="2"/>
  <c r="G66" i="2"/>
  <c r="G65" i="2"/>
  <c r="G63" i="2"/>
  <c r="G59" i="2"/>
  <c r="G54" i="2"/>
  <c r="G51" i="2"/>
  <c r="G43" i="2"/>
  <c r="G34" i="2"/>
  <c r="G30" i="2"/>
  <c r="G27" i="2"/>
  <c r="G19" i="2"/>
  <c r="G10" i="2"/>
  <c r="F262" i="13" l="1"/>
  <c r="F261" i="13"/>
  <c r="D487" i="13"/>
  <c r="F484" i="13"/>
  <c r="E63" i="1" s="1"/>
  <c r="F480" i="13"/>
  <c r="F475" i="13" s="1"/>
  <c r="D480" i="13"/>
  <c r="D475" i="13" s="1"/>
  <c r="D474" i="13" s="1"/>
  <c r="F479" i="13"/>
  <c r="F477" i="13" s="1"/>
  <c r="D479" i="13"/>
  <c r="D477" i="13" s="1"/>
  <c r="F467" i="13"/>
  <c r="D467" i="13"/>
  <c r="D468" i="13"/>
  <c r="E470" i="13"/>
  <c r="F469" i="13"/>
  <c r="F463" i="13" s="1"/>
  <c r="E60" i="1" s="1"/>
  <c r="F468" i="13"/>
  <c r="D419" i="13"/>
  <c r="E443" i="13"/>
  <c r="F455" i="13"/>
  <c r="F454" i="13"/>
  <c r="F453" i="13"/>
  <c r="F452" i="13"/>
  <c r="D453" i="13"/>
  <c r="D452" i="13"/>
  <c r="D461" i="13"/>
  <c r="E461" i="13" s="1"/>
  <c r="D459" i="13"/>
  <c r="F456" i="13"/>
  <c r="F460" i="13"/>
  <c r="F447" i="13" s="1"/>
  <c r="F425" i="13"/>
  <c r="D425" i="13"/>
  <c r="E433" i="13"/>
  <c r="I433" i="13" s="1"/>
  <c r="F426" i="13"/>
  <c r="F424" i="13"/>
  <c r="F423" i="13"/>
  <c r="F422" i="13"/>
  <c r="F420" i="13" s="1"/>
  <c r="E442" i="13"/>
  <c r="F441" i="13"/>
  <c r="F418" i="13" s="1"/>
  <c r="D441" i="13"/>
  <c r="D418" i="13" s="1"/>
  <c r="F417" i="13"/>
  <c r="D437" i="13"/>
  <c r="D413" i="13"/>
  <c r="D408" i="13" s="1"/>
  <c r="D406" i="13" s="1"/>
  <c r="E48" i="1"/>
  <c r="D375" i="13"/>
  <c r="C48" i="1" s="1"/>
  <c r="F391" i="13"/>
  <c r="D399" i="13"/>
  <c r="I399" i="13" s="1"/>
  <c r="D390" i="13"/>
  <c r="C50" i="1" s="1"/>
  <c r="F380" i="13"/>
  <c r="F377" i="13" s="1"/>
  <c r="D380" i="13"/>
  <c r="D377" i="13" s="1"/>
  <c r="F376" i="13"/>
  <c r="D385" i="13"/>
  <c r="I385" i="13" s="1"/>
  <c r="D267" i="13"/>
  <c r="D286" i="13"/>
  <c r="F278" i="13"/>
  <c r="D278" i="13"/>
  <c r="D261" i="13"/>
  <c r="D256" i="13"/>
  <c r="F365" i="13"/>
  <c r="F364" i="13"/>
  <c r="F363" i="13"/>
  <c r="D365" i="13"/>
  <c r="E373" i="13"/>
  <c r="F346" i="13"/>
  <c r="F344" i="13" s="1"/>
  <c r="D348" i="13"/>
  <c r="E360" i="13"/>
  <c r="F321" i="13"/>
  <c r="F319" i="13" s="1"/>
  <c r="D339" i="13"/>
  <c r="D338" i="13"/>
  <c r="E343" i="13"/>
  <c r="E325" i="13" s="1"/>
  <c r="E318" i="13"/>
  <c r="E304" i="13" s="1"/>
  <c r="F277" i="13"/>
  <c r="F275" i="13"/>
  <c r="E298" i="13"/>
  <c r="F366" i="13"/>
  <c r="F252" i="13" s="1"/>
  <c r="D366" i="13"/>
  <c r="D364" i="13"/>
  <c r="D363" i="13"/>
  <c r="D349" i="13"/>
  <c r="D347" i="13"/>
  <c r="D346" i="13"/>
  <c r="E327" i="13"/>
  <c r="E326" i="13" s="1"/>
  <c r="G326" i="13" s="1"/>
  <c r="D305" i="13"/>
  <c r="F223" i="13"/>
  <c r="D223" i="13"/>
  <c r="D228" i="13"/>
  <c r="E228" i="13" s="1"/>
  <c r="D235" i="13"/>
  <c r="D232" i="13"/>
  <c r="D231" i="13"/>
  <c r="F225" i="13"/>
  <c r="F217" i="13" s="1"/>
  <c r="D225" i="13"/>
  <c r="F224" i="13"/>
  <c r="D215" i="13"/>
  <c r="F213" i="13"/>
  <c r="F212" i="13"/>
  <c r="F211" i="13"/>
  <c r="D211" i="13"/>
  <c r="L211" i="13" s="1"/>
  <c r="F204" i="13"/>
  <c r="F203" i="13"/>
  <c r="D203" i="13"/>
  <c r="D207" i="13"/>
  <c r="F205" i="13"/>
  <c r="F183" i="13"/>
  <c r="D183" i="13"/>
  <c r="D199" i="13"/>
  <c r="D186" i="13" s="1"/>
  <c r="E38" i="1"/>
  <c r="D187" i="13"/>
  <c r="F198" i="13"/>
  <c r="E195" i="13"/>
  <c r="G181" i="13" s="1"/>
  <c r="D194" i="13"/>
  <c r="D185" i="13" s="1"/>
  <c r="E193" i="13"/>
  <c r="D192" i="13"/>
  <c r="E192" i="13" s="1"/>
  <c r="F191" i="13"/>
  <c r="F177" i="13" s="1"/>
  <c r="F186" i="13"/>
  <c r="F184" i="13"/>
  <c r="F163" i="13"/>
  <c r="F153" i="13" s="1"/>
  <c r="F160" i="13"/>
  <c r="D160" i="13"/>
  <c r="E164" i="13"/>
  <c r="D165" i="13"/>
  <c r="F159" i="13"/>
  <c r="D174" i="13"/>
  <c r="D162" i="13" s="1"/>
  <c r="F173" i="13"/>
  <c r="F156" i="13" s="1"/>
  <c r="E170" i="13"/>
  <c r="D169" i="13"/>
  <c r="E168" i="13"/>
  <c r="D167" i="13"/>
  <c r="F166" i="13"/>
  <c r="F154" i="13" s="1"/>
  <c r="F162" i="13"/>
  <c r="F137" i="13"/>
  <c r="F133" i="13"/>
  <c r="D133" i="13"/>
  <c r="D151" i="13"/>
  <c r="E151" i="13" s="1"/>
  <c r="F150" i="13"/>
  <c r="E146" i="13"/>
  <c r="D145" i="13"/>
  <c r="E145" i="13" s="1"/>
  <c r="E144" i="13"/>
  <c r="D143" i="13"/>
  <c r="E143" i="13" s="1"/>
  <c r="F142" i="13"/>
  <c r="F132" i="13" s="1"/>
  <c r="F140" i="13"/>
  <c r="D140" i="13"/>
  <c r="D131" i="13" s="1"/>
  <c r="C34" i="1" s="1"/>
  <c r="F139" i="13"/>
  <c r="F138" i="13"/>
  <c r="D129" i="13"/>
  <c r="E129" i="13" s="1"/>
  <c r="F128" i="13"/>
  <c r="F116" i="13" s="1"/>
  <c r="E127" i="13"/>
  <c r="D126" i="13"/>
  <c r="E125" i="13"/>
  <c r="D124" i="13"/>
  <c r="D118" i="13" s="1"/>
  <c r="F123" i="13"/>
  <c r="F115" i="13" s="1"/>
  <c r="F121" i="13"/>
  <c r="D121" i="13"/>
  <c r="D114" i="13" s="1"/>
  <c r="C32" i="1" s="1"/>
  <c r="F120" i="13"/>
  <c r="F119" i="13"/>
  <c r="F118" i="13"/>
  <c r="D112" i="13"/>
  <c r="E112" i="13" s="1"/>
  <c r="F111" i="13"/>
  <c r="F95" i="13" s="1"/>
  <c r="E107" i="13"/>
  <c r="D106" i="13"/>
  <c r="E105" i="13"/>
  <c r="D104" i="13"/>
  <c r="D98" i="13" s="1"/>
  <c r="F103" i="13"/>
  <c r="F93" i="13" s="1"/>
  <c r="F101" i="13"/>
  <c r="F92" i="13" s="1"/>
  <c r="D101" i="13"/>
  <c r="D92" i="13" s="1"/>
  <c r="F100" i="13"/>
  <c r="F98" i="13"/>
  <c r="F77" i="13"/>
  <c r="F76" i="13"/>
  <c r="F74" i="13" s="1"/>
  <c r="D78" i="13"/>
  <c r="D76" i="13"/>
  <c r="D87" i="13"/>
  <c r="F80" i="13"/>
  <c r="D80" i="13"/>
  <c r="E83" i="13"/>
  <c r="F63" i="13"/>
  <c r="F62" i="13"/>
  <c r="D73" i="13"/>
  <c r="D72" i="13" s="1"/>
  <c r="D59" i="13" s="1"/>
  <c r="F67" i="13"/>
  <c r="F57" i="13" s="1"/>
  <c r="E71" i="13"/>
  <c r="E69" i="13"/>
  <c r="D70" i="13"/>
  <c r="E70" i="13" s="1"/>
  <c r="D68" i="13"/>
  <c r="E68" i="13" s="1"/>
  <c r="F58" i="13"/>
  <c r="E81" i="13"/>
  <c r="E76" i="13" s="1"/>
  <c r="F72" i="13"/>
  <c r="F59" i="13" s="1"/>
  <c r="F65" i="13"/>
  <c r="D65" i="13"/>
  <c r="F38" i="13"/>
  <c r="F37" i="13" s="1"/>
  <c r="D38" i="13"/>
  <c r="D37" i="13" s="1"/>
  <c r="F39" i="13"/>
  <c r="F36" i="13" s="1"/>
  <c r="D39" i="13"/>
  <c r="D36" i="13" s="1"/>
  <c r="F26" i="13"/>
  <c r="F25" i="13"/>
  <c r="F24" i="13"/>
  <c r="F22" i="13" s="1"/>
  <c r="D34" i="13"/>
  <c r="D25" i="13"/>
  <c r="D24" i="13"/>
  <c r="F21" i="13"/>
  <c r="F18" i="13" s="1"/>
  <c r="F15" i="13" s="1"/>
  <c r="F27" i="13"/>
  <c r="F20" i="13" s="1"/>
  <c r="F465" i="13" l="1"/>
  <c r="F257" i="13"/>
  <c r="D229" i="13"/>
  <c r="F273" i="13"/>
  <c r="F96" i="13"/>
  <c r="F180" i="13"/>
  <c r="F157" i="13"/>
  <c r="D161" i="13"/>
  <c r="F135" i="13"/>
  <c r="F361" i="13"/>
  <c r="D54" i="13"/>
  <c r="D47" i="13" s="1"/>
  <c r="D12" i="13" s="1"/>
  <c r="E267" i="13"/>
  <c r="I267" i="13" s="1"/>
  <c r="D376" i="13"/>
  <c r="D374" i="13" s="1"/>
  <c r="E459" i="13"/>
  <c r="I459" i="13" s="1"/>
  <c r="E207" i="13"/>
  <c r="E204" i="13" s="1"/>
  <c r="G204" i="13" s="1"/>
  <c r="D281" i="13"/>
  <c r="D391" i="13"/>
  <c r="D389" i="13" s="1"/>
  <c r="C49" i="1" s="1"/>
  <c r="E215" i="13"/>
  <c r="I215" i="13" s="1"/>
  <c r="F50" i="13"/>
  <c r="F43" i="13" s="1"/>
  <c r="F8" i="13" s="1"/>
  <c r="F474" i="13"/>
  <c r="E61" i="1" s="1"/>
  <c r="D465" i="13"/>
  <c r="D411" i="13"/>
  <c r="E413" i="13"/>
  <c r="D361" i="13"/>
  <c r="D344" i="13"/>
  <c r="E339" i="13"/>
  <c r="E322" i="13" s="1"/>
  <c r="D322" i="13"/>
  <c r="E338" i="13"/>
  <c r="D336" i="13"/>
  <c r="D255" i="13" s="1"/>
  <c r="E286" i="13"/>
  <c r="E281" i="13" s="1"/>
  <c r="D262" i="13"/>
  <c r="D257" i="13" s="1"/>
  <c r="D263" i="13"/>
  <c r="F17" i="13"/>
  <c r="I437" i="13"/>
  <c r="D26" i="13"/>
  <c r="D22" i="13" s="1"/>
  <c r="E34" i="13"/>
  <c r="E30" i="13" s="1"/>
  <c r="D77" i="13"/>
  <c r="D74" i="13" s="1"/>
  <c r="E87" i="13"/>
  <c r="E84" i="13" s="1"/>
  <c r="F56" i="13"/>
  <c r="D428" i="13"/>
  <c r="D415" i="13" s="1"/>
  <c r="C54" i="1" s="1"/>
  <c r="E428" i="13"/>
  <c r="G428" i="13" s="1"/>
  <c r="D163" i="13"/>
  <c r="D153" i="13" s="1"/>
  <c r="C36" i="1" s="1"/>
  <c r="E165" i="13"/>
  <c r="I165" i="13" s="1"/>
  <c r="F201" i="13"/>
  <c r="E40" i="1" s="1"/>
  <c r="F114" i="13"/>
  <c r="F113" i="13" s="1"/>
  <c r="F131" i="13"/>
  <c r="E34" i="1" s="1"/>
  <c r="F209" i="13"/>
  <c r="E42" i="1" s="1"/>
  <c r="E289" i="13"/>
  <c r="E288" i="13" s="1"/>
  <c r="F414" i="13"/>
  <c r="D417" i="13"/>
  <c r="F91" i="13"/>
  <c r="E29" i="1" s="1"/>
  <c r="E427" i="13"/>
  <c r="G429" i="13"/>
  <c r="G371" i="13"/>
  <c r="G316" i="13"/>
  <c r="G69" i="13"/>
  <c r="G105" i="13"/>
  <c r="E65" i="13"/>
  <c r="G318" i="13"/>
  <c r="G317" i="13"/>
  <c r="G271" i="13"/>
  <c r="F449" i="13"/>
  <c r="E58" i="1" s="1"/>
  <c r="F445" i="13"/>
  <c r="G32" i="13"/>
  <c r="G71" i="13"/>
  <c r="G125" i="13"/>
  <c r="G144" i="13"/>
  <c r="G306" i="13"/>
  <c r="G343" i="13"/>
  <c r="G285" i="13"/>
  <c r="G457" i="13"/>
  <c r="G282" i="13"/>
  <c r="G430" i="13"/>
  <c r="G40" i="13"/>
  <c r="E183" i="13"/>
  <c r="G396" i="13"/>
  <c r="G33" i="13"/>
  <c r="G107" i="13"/>
  <c r="G168" i="13"/>
  <c r="G367" i="13"/>
  <c r="G284" i="13"/>
  <c r="G458" i="13"/>
  <c r="G481" i="13"/>
  <c r="G296" i="13"/>
  <c r="G149" i="13"/>
  <c r="G127" i="13"/>
  <c r="G146" i="13"/>
  <c r="G214" i="13"/>
  <c r="G292" i="13"/>
  <c r="G373" i="13"/>
  <c r="G440" i="13"/>
  <c r="E455" i="13"/>
  <c r="G455" i="13" s="1"/>
  <c r="G81" i="13"/>
  <c r="G206" i="13"/>
  <c r="G236" i="13"/>
  <c r="G83" i="13"/>
  <c r="G237" i="13"/>
  <c r="G372" i="13"/>
  <c r="G350" i="13"/>
  <c r="G293" i="13"/>
  <c r="E225" i="13"/>
  <c r="G358" i="13"/>
  <c r="E261" i="13"/>
  <c r="G170" i="13"/>
  <c r="G298" i="13"/>
  <c r="G485" i="13"/>
  <c r="G193" i="13"/>
  <c r="G431" i="13"/>
  <c r="G473" i="13"/>
  <c r="G86" i="13"/>
  <c r="E101" i="13"/>
  <c r="G101" i="13" s="1"/>
  <c r="G164" i="13"/>
  <c r="G195" i="13"/>
  <c r="G327" i="13"/>
  <c r="G359" i="13"/>
  <c r="G334" i="13"/>
  <c r="G486" i="13"/>
  <c r="G28" i="13"/>
  <c r="E121" i="13"/>
  <c r="E140" i="13"/>
  <c r="G248" i="13"/>
  <c r="G270" i="13"/>
  <c r="G335" i="13"/>
  <c r="G360" i="13"/>
  <c r="F450" i="13"/>
  <c r="G443" i="13"/>
  <c r="D484" i="13"/>
  <c r="C63" i="1" s="1"/>
  <c r="G487" i="13"/>
  <c r="E484" i="13"/>
  <c r="C61" i="1"/>
  <c r="C62" i="1"/>
  <c r="E62" i="1"/>
  <c r="E479" i="13"/>
  <c r="E477" i="13" s="1"/>
  <c r="E480" i="13"/>
  <c r="E467" i="13"/>
  <c r="F464" i="13"/>
  <c r="F462" i="13" s="1"/>
  <c r="E419" i="13"/>
  <c r="D456" i="13"/>
  <c r="D469" i="13"/>
  <c r="D463" i="13" s="1"/>
  <c r="C60" i="1" s="1"/>
  <c r="G470" i="13"/>
  <c r="E468" i="13"/>
  <c r="E469" i="13"/>
  <c r="E452" i="13"/>
  <c r="D455" i="13"/>
  <c r="E453" i="13"/>
  <c r="D454" i="13"/>
  <c r="F451" i="13"/>
  <c r="D426" i="13"/>
  <c r="D420" i="13" s="1"/>
  <c r="D460" i="13"/>
  <c r="G461" i="13"/>
  <c r="E460" i="13"/>
  <c r="E425" i="13"/>
  <c r="E54" i="1"/>
  <c r="E422" i="13"/>
  <c r="E423" i="13"/>
  <c r="E424" i="13"/>
  <c r="G442" i="13"/>
  <c r="E441" i="13"/>
  <c r="G439" i="13"/>
  <c r="E50" i="1"/>
  <c r="F405" i="13"/>
  <c r="F403" i="13" s="1"/>
  <c r="F374" i="13"/>
  <c r="E380" i="13"/>
  <c r="E377" i="13" s="1"/>
  <c r="G377" i="13" s="1"/>
  <c r="D321" i="13"/>
  <c r="D279" i="13"/>
  <c r="D273" i="13" s="1"/>
  <c r="E278" i="13"/>
  <c r="E46" i="1"/>
  <c r="F255" i="13"/>
  <c r="F52" i="13" s="1"/>
  <c r="E364" i="13"/>
  <c r="E347" i="13"/>
  <c r="E256" i="13"/>
  <c r="E363" i="13"/>
  <c r="E365" i="13"/>
  <c r="E346" i="13"/>
  <c r="E348" i="13"/>
  <c r="E301" i="13"/>
  <c r="E299" i="13" s="1"/>
  <c r="E277" i="13"/>
  <c r="E275" i="13"/>
  <c r="G266" i="13"/>
  <c r="D212" i="13"/>
  <c r="D227" i="13"/>
  <c r="D221" i="13" s="1"/>
  <c r="F222" i="13"/>
  <c r="D213" i="13"/>
  <c r="D209" i="13" s="1"/>
  <c r="D208" i="13" s="1"/>
  <c r="C41" i="1" s="1"/>
  <c r="G368" i="13"/>
  <c r="E366" i="13"/>
  <c r="G351" i="13"/>
  <c r="E349" i="13"/>
  <c r="G328" i="13"/>
  <c r="G307" i="13"/>
  <c r="E305" i="13"/>
  <c r="G272" i="13"/>
  <c r="G283" i="13"/>
  <c r="E223" i="13"/>
  <c r="D220" i="13"/>
  <c r="D204" i="13"/>
  <c r="D202" i="13" s="1"/>
  <c r="D205" i="13"/>
  <c r="D201" i="13" s="1"/>
  <c r="C40" i="1" s="1"/>
  <c r="D224" i="13"/>
  <c r="D222" i="13" s="1"/>
  <c r="F210" i="13"/>
  <c r="E231" i="13"/>
  <c r="D217" i="13"/>
  <c r="E227" i="13"/>
  <c r="E221" i="13" s="1"/>
  <c r="E224" i="13"/>
  <c r="G228" i="13"/>
  <c r="G249" i="13"/>
  <c r="E232" i="13"/>
  <c r="G238" i="13"/>
  <c r="G226" i="13"/>
  <c r="E211" i="13"/>
  <c r="E203" i="13"/>
  <c r="F202" i="13"/>
  <c r="E199" i="13"/>
  <c r="G189" i="13"/>
  <c r="D198" i="13"/>
  <c r="D179" i="13" s="1"/>
  <c r="D184" i="13"/>
  <c r="D180" i="13" s="1"/>
  <c r="E160" i="13"/>
  <c r="G160" i="13" s="1"/>
  <c r="G190" i="13"/>
  <c r="G192" i="13"/>
  <c r="E184" i="13"/>
  <c r="E194" i="13"/>
  <c r="D176" i="13"/>
  <c r="C38" i="1" s="1"/>
  <c r="F179" i="13"/>
  <c r="F175" i="13" s="1"/>
  <c r="E37" i="1" s="1"/>
  <c r="D191" i="13"/>
  <c r="D177" i="13" s="1"/>
  <c r="D137" i="13"/>
  <c r="D159" i="13"/>
  <c r="D157" i="13" s="1"/>
  <c r="E137" i="13"/>
  <c r="D150" i="13"/>
  <c r="D134" i="13" s="1"/>
  <c r="D173" i="13"/>
  <c r="D156" i="13" s="1"/>
  <c r="D139" i="13"/>
  <c r="E169" i="13"/>
  <c r="E36" i="1"/>
  <c r="D166" i="13"/>
  <c r="D154" i="13" s="1"/>
  <c r="E174" i="13"/>
  <c r="E167" i="13"/>
  <c r="C30" i="1"/>
  <c r="E30" i="1"/>
  <c r="D123" i="13"/>
  <c r="D115" i="13" s="1"/>
  <c r="D128" i="13"/>
  <c r="D116" i="13" s="1"/>
  <c r="G143" i="13"/>
  <c r="E142" i="13"/>
  <c r="G145" i="13"/>
  <c r="E138" i="13"/>
  <c r="G151" i="13"/>
  <c r="E139" i="13"/>
  <c r="E150" i="13"/>
  <c r="D138" i="13"/>
  <c r="G141" i="13"/>
  <c r="F134" i="13"/>
  <c r="D142" i="13"/>
  <c r="D132" i="13" s="1"/>
  <c r="G129" i="13"/>
  <c r="E128" i="13"/>
  <c r="D120" i="13"/>
  <c r="E120" i="13"/>
  <c r="D119" i="13"/>
  <c r="E126" i="13"/>
  <c r="G122" i="13"/>
  <c r="F117" i="13"/>
  <c r="E124" i="13"/>
  <c r="D103" i="13"/>
  <c r="D93" i="13" s="1"/>
  <c r="G112" i="13"/>
  <c r="E100" i="13"/>
  <c r="E111" i="13"/>
  <c r="D111" i="13"/>
  <c r="D95" i="13" s="1"/>
  <c r="D100" i="13"/>
  <c r="D99" i="13"/>
  <c r="D96" i="13" s="1"/>
  <c r="E106" i="13"/>
  <c r="E99" i="13" s="1"/>
  <c r="E104" i="13"/>
  <c r="G102" i="13"/>
  <c r="F61" i="13"/>
  <c r="D56" i="13"/>
  <c r="E78" i="13"/>
  <c r="D62" i="13"/>
  <c r="D63" i="13"/>
  <c r="E80" i="13"/>
  <c r="D67" i="13"/>
  <c r="D57" i="13" s="1"/>
  <c r="E67" i="13"/>
  <c r="E62" i="13"/>
  <c r="G70" i="13"/>
  <c r="E63" i="13"/>
  <c r="D64" i="13"/>
  <c r="E73" i="13"/>
  <c r="G68" i="13"/>
  <c r="G66" i="13"/>
  <c r="D84" i="13"/>
  <c r="G82" i="13"/>
  <c r="E38" i="13"/>
  <c r="E39" i="13"/>
  <c r="E36" i="13" s="1"/>
  <c r="E24" i="13"/>
  <c r="E25" i="13"/>
  <c r="D30" i="13"/>
  <c r="D27" i="13"/>
  <c r="D20" i="13" s="1"/>
  <c r="D17" i="13" s="1"/>
  <c r="G29" i="13"/>
  <c r="E27" i="13"/>
  <c r="D53" i="13" l="1"/>
  <c r="G233" i="13"/>
  <c r="E161" i="13"/>
  <c r="G246" i="13"/>
  <c r="G471" i="13"/>
  <c r="G147" i="13"/>
  <c r="G294" i="13"/>
  <c r="E229" i="13"/>
  <c r="E185" i="13"/>
  <c r="G185" i="13" s="1"/>
  <c r="E465" i="13"/>
  <c r="E135" i="13"/>
  <c r="D135" i="13"/>
  <c r="G437" i="13"/>
  <c r="G268" i="13"/>
  <c r="E344" i="13"/>
  <c r="G356" i="13"/>
  <c r="G369" i="13"/>
  <c r="G290" i="13"/>
  <c r="E361" i="13"/>
  <c r="E321" i="13"/>
  <c r="G321" i="13" s="1"/>
  <c r="E336" i="13"/>
  <c r="I336" i="13" s="1"/>
  <c r="D252" i="13"/>
  <c r="C46" i="1" s="1"/>
  <c r="G332" i="13"/>
  <c r="G314" i="13"/>
  <c r="G413" i="13"/>
  <c r="E411" i="13"/>
  <c r="I411" i="13" s="1"/>
  <c r="E263" i="13"/>
  <c r="E205" i="13"/>
  <c r="E201" i="13" s="1"/>
  <c r="G201" i="13" s="1"/>
  <c r="G207" i="13"/>
  <c r="E454" i="13"/>
  <c r="G454" i="13" s="1"/>
  <c r="E456" i="13"/>
  <c r="E449" i="13" s="1"/>
  <c r="G449" i="13" s="1"/>
  <c r="I30" i="13"/>
  <c r="G459" i="13"/>
  <c r="I286" i="13"/>
  <c r="I207" i="13"/>
  <c r="D405" i="13"/>
  <c r="D403" i="13" s="1"/>
  <c r="C51" i="1" s="1"/>
  <c r="E212" i="13"/>
  <c r="G212" i="13" s="1"/>
  <c r="D319" i="13"/>
  <c r="E213" i="13"/>
  <c r="E209" i="13" s="1"/>
  <c r="G215" i="13"/>
  <c r="G338" i="13"/>
  <c r="E54" i="13"/>
  <c r="F49" i="13"/>
  <c r="D50" i="13"/>
  <c r="D43" i="13" s="1"/>
  <c r="D8" i="13" s="1"/>
  <c r="D58" i="13"/>
  <c r="D55" i="13" s="1"/>
  <c r="C27" i="1" s="1"/>
  <c r="E56" i="13"/>
  <c r="F51" i="13"/>
  <c r="F44" i="13" s="1"/>
  <c r="F9" i="13" s="1"/>
  <c r="E408" i="13"/>
  <c r="E406" i="13" s="1"/>
  <c r="E280" i="13"/>
  <c r="G280" i="13" s="1"/>
  <c r="F251" i="13"/>
  <c r="E45" i="1" s="1"/>
  <c r="D210" i="13"/>
  <c r="L212" i="13"/>
  <c r="G155" i="13"/>
  <c r="I84" i="13"/>
  <c r="E77" i="13"/>
  <c r="E74" i="13" s="1"/>
  <c r="F200" i="13"/>
  <c r="E39" i="1" s="1"/>
  <c r="F208" i="13"/>
  <c r="E41" i="1" s="1"/>
  <c r="E32" i="1"/>
  <c r="F55" i="13"/>
  <c r="E27" i="1" s="1"/>
  <c r="G289" i="13"/>
  <c r="G288" i="13"/>
  <c r="E436" i="13"/>
  <c r="E435" i="13" s="1"/>
  <c r="E31" i="1"/>
  <c r="F448" i="13"/>
  <c r="E57" i="1" s="1"/>
  <c r="G225" i="13"/>
  <c r="G121" i="13"/>
  <c r="G261" i="13"/>
  <c r="E114" i="13"/>
  <c r="D32" i="1" s="1"/>
  <c r="G260" i="13"/>
  <c r="G140" i="13"/>
  <c r="E131" i="13"/>
  <c r="E116" i="13"/>
  <c r="G301" i="13"/>
  <c r="G165" i="13"/>
  <c r="G363" i="13"/>
  <c r="G259" i="13"/>
  <c r="E390" i="13"/>
  <c r="D50" i="1" s="1"/>
  <c r="G138" i="13"/>
  <c r="G276" i="13"/>
  <c r="G100" i="13"/>
  <c r="E220" i="13"/>
  <c r="G25" i="13"/>
  <c r="G34" i="13"/>
  <c r="E159" i="13"/>
  <c r="G394" i="13"/>
  <c r="G395" i="13"/>
  <c r="E463" i="13"/>
  <c r="G349" i="13"/>
  <c r="E475" i="13"/>
  <c r="E474" i="13" s="1"/>
  <c r="G62" i="13"/>
  <c r="G339" i="13"/>
  <c r="E391" i="13"/>
  <c r="G391" i="13" s="1"/>
  <c r="G219" i="13"/>
  <c r="G425" i="13"/>
  <c r="E132" i="13"/>
  <c r="G278" i="13"/>
  <c r="G38" i="13"/>
  <c r="E191" i="13"/>
  <c r="G191" i="13" s="1"/>
  <c r="E176" i="13"/>
  <c r="G176" i="13" s="1"/>
  <c r="E20" i="13"/>
  <c r="D18" i="1" s="1"/>
  <c r="E133" i="13"/>
  <c r="G302" i="13"/>
  <c r="G453" i="13"/>
  <c r="G366" i="13"/>
  <c r="E262" i="13"/>
  <c r="E257" i="13" s="1"/>
  <c r="G347" i="13"/>
  <c r="G380" i="13"/>
  <c r="E186" i="13"/>
  <c r="E180" i="13" s="1"/>
  <c r="G180" i="13" s="1"/>
  <c r="G277" i="13"/>
  <c r="G423" i="13"/>
  <c r="D63" i="1"/>
  <c r="E92" i="13"/>
  <c r="G468" i="13"/>
  <c r="G65" i="13"/>
  <c r="E134" i="13"/>
  <c r="G183" i="13"/>
  <c r="G231" i="13"/>
  <c r="G305" i="13"/>
  <c r="G325" i="13"/>
  <c r="G364" i="13"/>
  <c r="G286" i="13"/>
  <c r="G422" i="13"/>
  <c r="G484" i="13"/>
  <c r="E95" i="13"/>
  <c r="G203" i="13"/>
  <c r="E447" i="13"/>
  <c r="G139" i="13"/>
  <c r="G87" i="13"/>
  <c r="G78" i="13"/>
  <c r="G120" i="13"/>
  <c r="G365" i="13"/>
  <c r="G224" i="13"/>
  <c r="G235" i="13"/>
  <c r="G304" i="13"/>
  <c r="G348" i="13"/>
  <c r="E426" i="13"/>
  <c r="E420" i="13" s="1"/>
  <c r="G420" i="13" s="1"/>
  <c r="G480" i="13"/>
  <c r="D450" i="13"/>
  <c r="D447" i="13"/>
  <c r="D46" i="13" s="1"/>
  <c r="C18" i="1"/>
  <c r="D449" i="13"/>
  <c r="C58" i="1" s="1"/>
  <c r="D445" i="13"/>
  <c r="G479" i="13"/>
  <c r="D462" i="13"/>
  <c r="C59" i="1" s="1"/>
  <c r="G467" i="13"/>
  <c r="E59" i="1"/>
  <c r="G469" i="13"/>
  <c r="D451" i="13"/>
  <c r="E450" i="13"/>
  <c r="G433" i="13"/>
  <c r="F53" i="13"/>
  <c r="F46" i="13" s="1"/>
  <c r="F11" i="13" s="1"/>
  <c r="G460" i="13"/>
  <c r="E28" i="1"/>
  <c r="E417" i="13"/>
  <c r="G441" i="13"/>
  <c r="E418" i="13"/>
  <c r="G424" i="13"/>
  <c r="F389" i="13"/>
  <c r="E49" i="1" s="1"/>
  <c r="E47" i="1"/>
  <c r="C47" i="1"/>
  <c r="E279" i="13"/>
  <c r="E376" i="13"/>
  <c r="G381" i="13"/>
  <c r="G379" i="13"/>
  <c r="G267" i="13"/>
  <c r="G256" i="13"/>
  <c r="G346" i="13"/>
  <c r="G275" i="13"/>
  <c r="C42" i="1"/>
  <c r="F216" i="13"/>
  <c r="E43" i="1" s="1"/>
  <c r="E44" i="1"/>
  <c r="D216" i="13"/>
  <c r="C43" i="1" s="1"/>
  <c r="C44" i="1"/>
  <c r="E202" i="13"/>
  <c r="D200" i="13"/>
  <c r="C39" i="1" s="1"/>
  <c r="E163" i="13"/>
  <c r="E217" i="13"/>
  <c r="G227" i="13"/>
  <c r="G223" i="13"/>
  <c r="G232" i="13"/>
  <c r="G211" i="13"/>
  <c r="G199" i="13"/>
  <c r="E198" i="13"/>
  <c r="D113" i="13"/>
  <c r="G187" i="13"/>
  <c r="G184" i="13"/>
  <c r="D175" i="13"/>
  <c r="C37" i="1" s="1"/>
  <c r="G194" i="13"/>
  <c r="D130" i="13"/>
  <c r="C33" i="1" s="1"/>
  <c r="D152" i="13"/>
  <c r="C35" i="1" s="1"/>
  <c r="G142" i="13"/>
  <c r="G128" i="13"/>
  <c r="G80" i="13"/>
  <c r="G174" i="13"/>
  <c r="E173" i="13"/>
  <c r="E162" i="13"/>
  <c r="G162" i="13" s="1"/>
  <c r="F152" i="13"/>
  <c r="E35" i="1" s="1"/>
  <c r="G169" i="13"/>
  <c r="G167" i="13"/>
  <c r="E166" i="13"/>
  <c r="G150" i="13"/>
  <c r="D117" i="13"/>
  <c r="D91" i="13"/>
  <c r="C29" i="1" s="1"/>
  <c r="F130" i="13"/>
  <c r="E33" i="1" s="1"/>
  <c r="G137" i="13"/>
  <c r="E118" i="13"/>
  <c r="E123" i="13"/>
  <c r="G124" i="13"/>
  <c r="G126" i="13"/>
  <c r="E119" i="13"/>
  <c r="G111" i="13"/>
  <c r="C28" i="1"/>
  <c r="G67" i="13"/>
  <c r="E57" i="13"/>
  <c r="G106" i="13"/>
  <c r="E98" i="13"/>
  <c r="E96" i="13" s="1"/>
  <c r="E103" i="13"/>
  <c r="G104" i="13"/>
  <c r="D61" i="13"/>
  <c r="G73" i="13"/>
  <c r="E64" i="13"/>
  <c r="E72" i="13"/>
  <c r="G76" i="13"/>
  <c r="G63" i="13"/>
  <c r="E18" i="1"/>
  <c r="G39" i="13"/>
  <c r="D21" i="13"/>
  <c r="D19" i="13" s="1"/>
  <c r="C17" i="1" s="1"/>
  <c r="F19" i="13"/>
  <c r="E17" i="1" s="1"/>
  <c r="E26" i="13"/>
  <c r="E22" i="13" s="1"/>
  <c r="E37" i="13"/>
  <c r="G27" i="13"/>
  <c r="G24" i="13"/>
  <c r="G361" i="13" l="1"/>
  <c r="G411" i="13"/>
  <c r="G477" i="13"/>
  <c r="G30" i="13"/>
  <c r="G263" i="13"/>
  <c r="G84" i="13"/>
  <c r="G229" i="13"/>
  <c r="E210" i="13"/>
  <c r="E157" i="13"/>
  <c r="G159" i="13"/>
  <c r="G135" i="13"/>
  <c r="G161" i="13"/>
  <c r="E273" i="13"/>
  <c r="E319" i="13"/>
  <c r="G336" i="13"/>
  <c r="D251" i="13"/>
  <c r="C45" i="1" s="1"/>
  <c r="G465" i="13"/>
  <c r="G392" i="13"/>
  <c r="E451" i="13"/>
  <c r="G451" i="13" s="1"/>
  <c r="G205" i="13"/>
  <c r="E445" i="13"/>
  <c r="G344" i="13"/>
  <c r="G456" i="13"/>
  <c r="G299" i="13"/>
  <c r="D49" i="13"/>
  <c r="D42" i="13" s="1"/>
  <c r="G408" i="13"/>
  <c r="G213" i="13"/>
  <c r="D51" i="13"/>
  <c r="D44" i="13" s="1"/>
  <c r="E405" i="13"/>
  <c r="E403" i="13" s="1"/>
  <c r="G403" i="13" s="1"/>
  <c r="D52" i="13"/>
  <c r="D45" i="13" s="1"/>
  <c r="D10" i="13" s="1"/>
  <c r="F45" i="13"/>
  <c r="F10" i="13" s="1"/>
  <c r="L10" i="13" s="1"/>
  <c r="K52" i="13"/>
  <c r="F42" i="13"/>
  <c r="K49" i="13"/>
  <c r="J84" i="13"/>
  <c r="E24" i="1"/>
  <c r="G436" i="13"/>
  <c r="G435" i="13"/>
  <c r="C31" i="1"/>
  <c r="D58" i="1"/>
  <c r="G475" i="13"/>
  <c r="E130" i="13"/>
  <c r="G130" i="13" s="1"/>
  <c r="D34" i="1"/>
  <c r="G131" i="13"/>
  <c r="D60" i="1"/>
  <c r="G463" i="13"/>
  <c r="G114" i="13"/>
  <c r="E200" i="13"/>
  <c r="G200" i="13" s="1"/>
  <c r="G133" i="13"/>
  <c r="G56" i="13"/>
  <c r="G77" i="13"/>
  <c r="D62" i="1"/>
  <c r="E17" i="13"/>
  <c r="G116" i="13"/>
  <c r="G209" i="13"/>
  <c r="E208" i="13"/>
  <c r="G208" i="13" s="1"/>
  <c r="E389" i="13"/>
  <c r="D49" i="1" s="1"/>
  <c r="D28" i="1"/>
  <c r="E177" i="13"/>
  <c r="E93" i="13"/>
  <c r="G93" i="13" s="1"/>
  <c r="G95" i="13"/>
  <c r="G221" i="13"/>
  <c r="D30" i="1"/>
  <c r="G92" i="13"/>
  <c r="G376" i="13"/>
  <c r="D42" i="1"/>
  <c r="D38" i="1"/>
  <c r="G72" i="13"/>
  <c r="G134" i="13"/>
  <c r="G64" i="13"/>
  <c r="G279" i="13"/>
  <c r="G418" i="13"/>
  <c r="G426" i="13"/>
  <c r="G186" i="13"/>
  <c r="G132" i="13"/>
  <c r="G99" i="13"/>
  <c r="G37" i="13"/>
  <c r="G390" i="13"/>
  <c r="D40" i="1"/>
  <c r="G26" i="13"/>
  <c r="G119" i="13"/>
  <c r="G210" i="13"/>
  <c r="G281" i="13"/>
  <c r="G417" i="13"/>
  <c r="G202" i="13"/>
  <c r="G220" i="13"/>
  <c r="E153" i="13"/>
  <c r="E415" i="13"/>
  <c r="D11" i="13"/>
  <c r="G20" i="13"/>
  <c r="D444" i="13"/>
  <c r="D448" i="13"/>
  <c r="C57" i="1" s="1"/>
  <c r="G450" i="13"/>
  <c r="G254" i="13"/>
  <c r="G452" i="13"/>
  <c r="D414" i="13"/>
  <c r="C53" i="1" s="1"/>
  <c r="E51" i="1"/>
  <c r="E375" i="13"/>
  <c r="G382" i="13"/>
  <c r="E255" i="13"/>
  <c r="J255" i="13" s="1"/>
  <c r="G322" i="13"/>
  <c r="G262" i="13"/>
  <c r="G217" i="13"/>
  <c r="D44" i="1"/>
  <c r="G163" i="13"/>
  <c r="E58" i="13"/>
  <c r="E222" i="13"/>
  <c r="E179" i="13"/>
  <c r="G198" i="13"/>
  <c r="E154" i="13"/>
  <c r="G166" i="13"/>
  <c r="E156" i="13"/>
  <c r="G173" i="13"/>
  <c r="E61" i="13"/>
  <c r="E115" i="13"/>
  <c r="G123" i="13"/>
  <c r="E117" i="13"/>
  <c r="G118" i="13"/>
  <c r="G57" i="13"/>
  <c r="E59" i="13"/>
  <c r="G103" i="13"/>
  <c r="G98" i="13"/>
  <c r="E21" i="13"/>
  <c r="D18" i="13"/>
  <c r="H88" i="2"/>
  <c r="G319" i="13" l="1"/>
  <c r="G74" i="13"/>
  <c r="G273" i="13"/>
  <c r="G22" i="13"/>
  <c r="G406" i="13"/>
  <c r="G257" i="13"/>
  <c r="G96" i="13"/>
  <c r="G157" i="13"/>
  <c r="G405" i="13"/>
  <c r="E51" i="13"/>
  <c r="J51" i="13" s="1"/>
  <c r="E52" i="13"/>
  <c r="J52" i="13" s="1"/>
  <c r="E50" i="13"/>
  <c r="D33" i="1"/>
  <c r="G474" i="13"/>
  <c r="D39" i="1"/>
  <c r="D54" i="1"/>
  <c r="G389" i="13"/>
  <c r="D61" i="1"/>
  <c r="D51" i="1"/>
  <c r="D36" i="1"/>
  <c r="G117" i="13"/>
  <c r="G177" i="13"/>
  <c r="E18" i="13"/>
  <c r="G61" i="13"/>
  <c r="G222" i="13"/>
  <c r="G156" i="13"/>
  <c r="D41" i="1"/>
  <c r="G153" i="13"/>
  <c r="E91" i="13"/>
  <c r="G255" i="13"/>
  <c r="G415" i="13"/>
  <c r="G446" i="13"/>
  <c r="F444" i="13"/>
  <c r="D48" i="13"/>
  <c r="D14" i="13" s="1"/>
  <c r="D7" i="13" s="1"/>
  <c r="E464" i="13"/>
  <c r="G59" i="13"/>
  <c r="E53" i="13"/>
  <c r="G58" i="13"/>
  <c r="D16" i="13"/>
  <c r="E448" i="13"/>
  <c r="E53" i="1"/>
  <c r="D35" i="13"/>
  <c r="C19" i="1" s="1"/>
  <c r="C20" i="1"/>
  <c r="E374" i="13"/>
  <c r="D48" i="1"/>
  <c r="G375" i="13"/>
  <c r="E55" i="13"/>
  <c r="E216" i="13"/>
  <c r="G179" i="13"/>
  <c r="E175" i="13"/>
  <c r="G154" i="13"/>
  <c r="E152" i="13"/>
  <c r="G115" i="13"/>
  <c r="E113" i="13"/>
  <c r="G21" i="13"/>
  <c r="E19" i="13"/>
  <c r="D15" i="13"/>
  <c r="D9" i="13" s="1"/>
  <c r="G51" i="13" l="1"/>
  <c r="D6" i="13"/>
  <c r="D31" i="1"/>
  <c r="D27" i="1"/>
  <c r="E15" i="13"/>
  <c r="G18" i="13"/>
  <c r="D29" i="1"/>
  <c r="G91" i="13"/>
  <c r="G53" i="13"/>
  <c r="G447" i="13"/>
  <c r="E44" i="13"/>
  <c r="G50" i="13"/>
  <c r="E43" i="13"/>
  <c r="D41" i="13"/>
  <c r="F48" i="13"/>
  <c r="G52" i="13"/>
  <c r="E45" i="13"/>
  <c r="D13" i="13"/>
  <c r="E462" i="13"/>
  <c r="G464" i="13"/>
  <c r="G448" i="13"/>
  <c r="D57" i="1"/>
  <c r="D47" i="1"/>
  <c r="G374" i="13"/>
  <c r="G55" i="13"/>
  <c r="G216" i="13"/>
  <c r="D43" i="1"/>
  <c r="G175" i="13"/>
  <c r="D37" i="1"/>
  <c r="G152" i="13"/>
  <c r="D35" i="1"/>
  <c r="G113" i="13"/>
  <c r="G19" i="13"/>
  <c r="D17" i="1"/>
  <c r="E20" i="1"/>
  <c r="F35" i="13"/>
  <c r="L51" i="13" l="1"/>
  <c r="L52" i="13"/>
  <c r="G15" i="13"/>
  <c r="G44" i="13"/>
  <c r="E46" i="13"/>
  <c r="E9" i="13"/>
  <c r="E10" i="13"/>
  <c r="K10" i="13" s="1"/>
  <c r="G45" i="13"/>
  <c r="F41" i="13"/>
  <c r="E8" i="13"/>
  <c r="G43" i="13"/>
  <c r="D59" i="1"/>
  <c r="G462" i="13"/>
  <c r="F14" i="13"/>
  <c r="F7" i="13" s="1"/>
  <c r="L7" i="13" s="1"/>
  <c r="F16" i="13"/>
  <c r="E19" i="1"/>
  <c r="K88" i="1"/>
  <c r="K87" i="1"/>
  <c r="K82" i="1"/>
  <c r="K81" i="1"/>
  <c r="K80" i="1"/>
  <c r="K79" i="1"/>
  <c r="K78" i="1"/>
  <c r="K77" i="1"/>
  <c r="K76" i="1"/>
  <c r="K75" i="1"/>
  <c r="K74" i="1"/>
  <c r="K73" i="1"/>
  <c r="K72" i="1"/>
  <c r="K71" i="1"/>
  <c r="K4" i="1"/>
  <c r="H38" i="8"/>
  <c r="H37" i="8"/>
  <c r="H35" i="8"/>
  <c r="H33" i="8"/>
  <c r="H32" i="8"/>
  <c r="H23" i="8"/>
  <c r="H29" i="8"/>
  <c r="H18" i="8"/>
  <c r="H15" i="8"/>
  <c r="H14" i="8"/>
  <c r="H13" i="8"/>
  <c r="H12" i="8"/>
  <c r="H8" i="8"/>
  <c r="H7" i="8"/>
  <c r="H6" i="8"/>
  <c r="N54" i="11"/>
  <c r="N6" i="11"/>
  <c r="O32" i="11"/>
  <c r="O35" i="11" s="1"/>
  <c r="P20" i="11"/>
  <c r="P19" i="11"/>
  <c r="P18" i="11"/>
  <c r="P17" i="11"/>
  <c r="O9" i="11"/>
  <c r="O21" i="11" s="1"/>
  <c r="O36" i="11" s="1"/>
  <c r="M139" i="10"/>
  <c r="J138" i="10"/>
  <c r="M138" i="10" s="1"/>
  <c r="M108" i="10"/>
  <c r="M112" i="10" s="1"/>
  <c r="L108" i="10"/>
  <c r="L112" i="10" s="1"/>
  <c r="K108" i="10"/>
  <c r="L104" i="10"/>
  <c r="N99" i="10"/>
  <c r="N98" i="10"/>
  <c r="N97" i="10"/>
  <c r="N96" i="10"/>
  <c r="M95" i="10"/>
  <c r="M94" i="10" s="1"/>
  <c r="K95" i="10"/>
  <c r="K94" i="10" s="1"/>
  <c r="M93" i="10"/>
  <c r="K93" i="10"/>
  <c r="N93" i="10" s="1"/>
  <c r="K91" i="10"/>
  <c r="N91" i="10" s="1"/>
  <c r="K90" i="10"/>
  <c r="N90" i="10" s="1"/>
  <c r="K89" i="10"/>
  <c r="N89" i="10" s="1"/>
  <c r="K88" i="10"/>
  <c r="N88" i="10" s="1"/>
  <c r="N87" i="10"/>
  <c r="N86" i="10"/>
  <c r="N85" i="10"/>
  <c r="K78" i="10"/>
  <c r="K103" i="10" s="1"/>
  <c r="N103" i="10" s="1"/>
  <c r="J78" i="10"/>
  <c r="I78" i="10"/>
  <c r="K77" i="10"/>
  <c r="J77" i="10"/>
  <c r="I77" i="10"/>
  <c r="K76" i="10"/>
  <c r="J76" i="10"/>
  <c r="M76" i="10" s="1"/>
  <c r="I76" i="10"/>
  <c r="K75" i="10"/>
  <c r="J75" i="10"/>
  <c r="M75" i="10" s="1"/>
  <c r="I75" i="10"/>
  <c r="K74" i="10"/>
  <c r="I74" i="10"/>
  <c r="K73" i="10"/>
  <c r="K111" i="10" s="1"/>
  <c r="N111" i="10" s="1"/>
  <c r="I73" i="10"/>
  <c r="K72" i="10"/>
  <c r="K115" i="10" s="1"/>
  <c r="K109" i="10" s="1"/>
  <c r="N109" i="10" s="1"/>
  <c r="I72" i="10"/>
  <c r="I71" i="10"/>
  <c r="K70" i="10"/>
  <c r="K84" i="10" s="1"/>
  <c r="N84" i="10" s="1"/>
  <c r="K63" i="10"/>
  <c r="M61" i="10"/>
  <c r="L61" i="10"/>
  <c r="M60" i="10"/>
  <c r="L60" i="10"/>
  <c r="M59" i="10"/>
  <c r="L59" i="10"/>
  <c r="L58" i="10"/>
  <c r="J58" i="10"/>
  <c r="M58" i="10" s="1"/>
  <c r="L57" i="10"/>
  <c r="J57" i="10"/>
  <c r="J74" i="10" s="1"/>
  <c r="L56" i="10"/>
  <c r="J56" i="10"/>
  <c r="J73" i="10" s="1"/>
  <c r="L55" i="10"/>
  <c r="J55" i="10"/>
  <c r="J72" i="10" s="1"/>
  <c r="K54" i="10"/>
  <c r="K71" i="10" s="1"/>
  <c r="K110" i="10" s="1"/>
  <c r="N110" i="10" s="1"/>
  <c r="J54" i="10"/>
  <c r="J71" i="10" s="1"/>
  <c r="J53" i="10"/>
  <c r="I53" i="10"/>
  <c r="I70" i="10" s="1"/>
  <c r="N30" i="10"/>
  <c r="N29" i="10"/>
  <c r="N25" i="10"/>
  <c r="N58" i="11" s="1"/>
  <c r="K44" i="10"/>
  <c r="J44" i="10"/>
  <c r="M44" i="10" s="1"/>
  <c r="I44" i="10"/>
  <c r="K43" i="10"/>
  <c r="I43" i="10"/>
  <c r="K42" i="10"/>
  <c r="I42" i="10"/>
  <c r="K40" i="10"/>
  <c r="I40" i="10"/>
  <c r="K39" i="10"/>
  <c r="K38" i="10"/>
  <c r="K37" i="10"/>
  <c r="I37" i="10"/>
  <c r="K36" i="10"/>
  <c r="I36" i="10"/>
  <c r="K35" i="10"/>
  <c r="J23" i="10"/>
  <c r="K15" i="10"/>
  <c r="M13" i="10"/>
  <c r="L13" i="10"/>
  <c r="L12" i="10"/>
  <c r="J12" i="10"/>
  <c r="J43" i="10" s="1"/>
  <c r="L11" i="10"/>
  <c r="J11" i="10"/>
  <c r="M11" i="10" s="1"/>
  <c r="L9" i="10"/>
  <c r="J9" i="10"/>
  <c r="M9" i="10" s="1"/>
  <c r="J8" i="10"/>
  <c r="J39" i="10" s="1"/>
  <c r="I8" i="10"/>
  <c r="I39" i="10" s="1"/>
  <c r="J7" i="10"/>
  <c r="M7" i="10" s="1"/>
  <c r="I7" i="10"/>
  <c r="L7" i="10" s="1"/>
  <c r="L6" i="10"/>
  <c r="J6" i="10"/>
  <c r="M6" i="10" s="1"/>
  <c r="L5" i="10"/>
  <c r="J5" i="10"/>
  <c r="J36" i="10" s="1"/>
  <c r="J4" i="10"/>
  <c r="J35" i="10" s="1"/>
  <c r="I4" i="10"/>
  <c r="L4" i="10" s="1"/>
  <c r="K3" i="10"/>
  <c r="K34" i="10" s="1"/>
  <c r="K83" i="10" s="1"/>
  <c r="N83" i="10" s="1"/>
  <c r="J3" i="10"/>
  <c r="J34" i="10" s="1"/>
  <c r="I3" i="10"/>
  <c r="I34" i="10" s="1"/>
  <c r="F77" i="1"/>
  <c r="F68" i="1"/>
  <c r="F67" i="1"/>
  <c r="F64" i="1"/>
  <c r="H142" i="2" s="1"/>
  <c r="F56" i="1"/>
  <c r="F55" i="1"/>
  <c r="F24" i="1"/>
  <c r="F23" i="1"/>
  <c r="F16" i="1"/>
  <c r="F15" i="1"/>
  <c r="F14" i="1"/>
  <c r="F13" i="1"/>
  <c r="F8" i="1"/>
  <c r="F7" i="1"/>
  <c r="G61" i="12"/>
  <c r="H54" i="12"/>
  <c r="N14" i="11"/>
  <c r="P14" i="11" s="1"/>
  <c r="N13" i="11"/>
  <c r="N12" i="11"/>
  <c r="N11" i="11"/>
  <c r="N10" i="11"/>
  <c r="N5" i="11"/>
  <c r="P5" i="11" s="1"/>
  <c r="M71" i="10" l="1"/>
  <c r="M39" i="10"/>
  <c r="M74" i="10"/>
  <c r="K62" i="10"/>
  <c r="K68" i="10" s="1"/>
  <c r="M35" i="10"/>
  <c r="M73" i="10"/>
  <c r="M77" i="10"/>
  <c r="N94" i="10"/>
  <c r="M56" i="10"/>
  <c r="M4" i="10"/>
  <c r="K79" i="10"/>
  <c r="M36" i="10"/>
  <c r="M43" i="10"/>
  <c r="I79" i="10"/>
  <c r="M78" i="10"/>
  <c r="I35" i="10"/>
  <c r="L35" i="10" s="1"/>
  <c r="L40" i="10"/>
  <c r="J62" i="10"/>
  <c r="J68" i="10" s="1"/>
  <c r="M68" i="10" s="1"/>
  <c r="L36" i="10"/>
  <c r="L42" i="10"/>
  <c r="L53" i="10"/>
  <c r="L76" i="10"/>
  <c r="L72" i="10"/>
  <c r="M12" i="10"/>
  <c r="J37" i="10"/>
  <c r="M37" i="10" s="1"/>
  <c r="L71" i="10"/>
  <c r="L37" i="10"/>
  <c r="L43" i="10"/>
  <c r="M72" i="10"/>
  <c r="L77" i="10"/>
  <c r="I38" i="10"/>
  <c r="L38" i="10" s="1"/>
  <c r="L73" i="10"/>
  <c r="K101" i="10"/>
  <c r="K14" i="10"/>
  <c r="K22" i="10" s="1"/>
  <c r="K32" i="10" s="1"/>
  <c r="J38" i="10"/>
  <c r="M38" i="10" s="1"/>
  <c r="L39" i="10"/>
  <c r="L44" i="10"/>
  <c r="I62" i="10"/>
  <c r="I68" i="10" s="1"/>
  <c r="L74" i="10"/>
  <c r="L78" i="10"/>
  <c r="M104" i="10"/>
  <c r="J40" i="10"/>
  <c r="M40" i="10" s="1"/>
  <c r="L75" i="10"/>
  <c r="N95" i="10"/>
  <c r="H125" i="2"/>
  <c r="G8" i="13"/>
  <c r="G10" i="13"/>
  <c r="G46" i="13"/>
  <c r="G9" i="13"/>
  <c r="E11" i="13"/>
  <c r="G11" i="13" s="1"/>
  <c r="E444" i="13"/>
  <c r="G445" i="13"/>
  <c r="G427" i="13"/>
  <c r="G419" i="13"/>
  <c r="E414" i="13"/>
  <c r="F13" i="13"/>
  <c r="F5" i="1"/>
  <c r="N8" i="11"/>
  <c r="P8" i="11" s="1"/>
  <c r="N7" i="11"/>
  <c r="F21" i="1"/>
  <c r="F11" i="1" s="1"/>
  <c r="F22" i="1"/>
  <c r="N9" i="11"/>
  <c r="P9" i="11" s="1"/>
  <c r="N115" i="10"/>
  <c r="K112" i="10"/>
  <c r="N108" i="10"/>
  <c r="K102" i="10"/>
  <c r="N102" i="10" s="1"/>
  <c r="L68" i="10"/>
  <c r="J70" i="10"/>
  <c r="M53" i="10"/>
  <c r="M57" i="10"/>
  <c r="L70" i="10"/>
  <c r="L62" i="10"/>
  <c r="L54" i="10"/>
  <c r="M54" i="10"/>
  <c r="M55" i="10"/>
  <c r="M34" i="10"/>
  <c r="L34" i="10"/>
  <c r="K45" i="10"/>
  <c r="L8" i="10"/>
  <c r="M8" i="10"/>
  <c r="I14" i="10"/>
  <c r="M5" i="10"/>
  <c r="J14" i="10"/>
  <c r="J22" i="10" s="1"/>
  <c r="L3" i="10"/>
  <c r="J42" i="10"/>
  <c r="M42" i="10" s="1"/>
  <c r="M3" i="10"/>
  <c r="N112" i="10" l="1"/>
  <c r="M14" i="10"/>
  <c r="L79" i="10"/>
  <c r="I45" i="10"/>
  <c r="L45" i="10" s="1"/>
  <c r="M45" i="10"/>
  <c r="J45" i="10"/>
  <c r="N101" i="10"/>
  <c r="K100" i="10"/>
  <c r="N100" i="10" s="1"/>
  <c r="N104" i="10" s="1"/>
  <c r="L14" i="10"/>
  <c r="E47" i="13"/>
  <c r="G444" i="13"/>
  <c r="G414" i="13"/>
  <c r="D53" i="1"/>
  <c r="G54" i="13"/>
  <c r="F6" i="13"/>
  <c r="F12" i="1"/>
  <c r="M62" i="10"/>
  <c r="J79" i="10"/>
  <c r="M79" i="10" s="1"/>
  <c r="M70" i="10"/>
  <c r="J32" i="10"/>
  <c r="M32" i="10" s="1"/>
  <c r="M22" i="10"/>
  <c r="I22" i="10"/>
  <c r="L22" i="10" s="1"/>
  <c r="I32" i="10"/>
  <c r="L32" i="10" s="1"/>
  <c r="N15" i="11" l="1"/>
  <c r="P15" i="11" s="1"/>
  <c r="K104" i="10"/>
  <c r="N23" i="11"/>
  <c r="N24" i="11"/>
  <c r="M53" i="11"/>
  <c r="H243" i="2"/>
  <c r="G47" i="13"/>
  <c r="E12" i="13"/>
  <c r="N35" i="11" l="1"/>
  <c r="P35" i="11" s="1"/>
  <c r="G7" i="12"/>
  <c r="G12" i="13"/>
  <c r="D20" i="1"/>
  <c r="G36" i="13"/>
  <c r="E35" i="13"/>
  <c r="N4" i="11" l="1"/>
  <c r="D19" i="1"/>
  <c r="G35" i="13"/>
  <c r="E16" i="13"/>
  <c r="G17" i="13"/>
  <c r="E14" i="13"/>
  <c r="P4" i="11" l="1"/>
  <c r="P21" i="11" s="1"/>
  <c r="N21" i="11"/>
  <c r="N36" i="11" s="1"/>
  <c r="P36" i="11" s="1"/>
  <c r="G16" i="13"/>
  <c r="G14" i="13"/>
  <c r="E13" i="13"/>
  <c r="G13" i="13" l="1"/>
  <c r="AP16" i="3" l="1"/>
  <c r="AP14" i="3"/>
  <c r="AQ16" i="3"/>
  <c r="AQ14" i="3"/>
  <c r="AO14" i="3" l="1"/>
  <c r="AQ22" i="3" l="1"/>
  <c r="AP22" i="3"/>
  <c r="AO22" i="3"/>
  <c r="AN22" i="3"/>
  <c r="AM22" i="3"/>
  <c r="AL22" i="3"/>
  <c r="B64" i="12"/>
  <c r="D72" i="12"/>
  <c r="C72" i="12"/>
  <c r="B72" i="12"/>
  <c r="G5" i="12" l="1"/>
  <c r="G50" i="5" l="1"/>
  <c r="G154" i="5" s="1"/>
  <c r="G14" i="5" l="1"/>
  <c r="G118" i="5" s="1"/>
  <c r="G26" i="5" l="1"/>
  <c r="G130" i="5" s="1"/>
  <c r="G94" i="5" l="1"/>
  <c r="G198" i="5" s="1"/>
  <c r="J134" i="12" l="1"/>
  <c r="I134" i="12"/>
  <c r="H134" i="12"/>
  <c r="G134" i="12"/>
  <c r="F134" i="12"/>
  <c r="E134" i="12"/>
  <c r="D134" i="12"/>
  <c r="C134" i="12"/>
  <c r="B134" i="12"/>
  <c r="J130" i="12"/>
  <c r="I130" i="12"/>
  <c r="H130" i="12"/>
  <c r="G130" i="12"/>
  <c r="F130" i="12"/>
  <c r="E130" i="12"/>
  <c r="D130" i="12"/>
  <c r="C130" i="12"/>
  <c r="B130" i="12"/>
  <c r="C113" i="12"/>
  <c r="C114" i="12"/>
  <c r="C122" i="12"/>
  <c r="C123" i="12"/>
  <c r="C121" i="12"/>
  <c r="C112" i="12"/>
  <c r="J105" i="12"/>
  <c r="I105" i="12"/>
  <c r="E105" i="12"/>
  <c r="J101" i="12"/>
  <c r="I101" i="12"/>
  <c r="E101" i="12"/>
  <c r="C116" i="12" l="1"/>
  <c r="C125" i="12"/>
  <c r="Y21" i="3" l="1"/>
  <c r="Y20" i="3"/>
  <c r="Y19" i="3"/>
  <c r="Y18" i="3"/>
  <c r="Y17" i="3"/>
  <c r="Y16" i="3"/>
  <c r="Y15" i="3"/>
  <c r="Y14" i="3"/>
  <c r="Y13" i="3"/>
  <c r="Y12" i="3"/>
  <c r="Y11" i="3"/>
  <c r="Y10" i="3"/>
  <c r="Y9" i="3"/>
  <c r="Y8" i="3"/>
  <c r="Y7" i="3"/>
  <c r="Y6" i="3"/>
  <c r="Y5" i="3"/>
  <c r="Y4" i="3"/>
  <c r="E18" i="8" l="1"/>
  <c r="AH21" i="3" l="1"/>
  <c r="AH20" i="3"/>
  <c r="AH19" i="3"/>
  <c r="AH18" i="3"/>
  <c r="AH17" i="3"/>
  <c r="AH16" i="3"/>
  <c r="AH15" i="3"/>
  <c r="AH14" i="3"/>
  <c r="AH13" i="3"/>
  <c r="AH12" i="3"/>
  <c r="AH11" i="3"/>
  <c r="AH10" i="3"/>
  <c r="AH9" i="3"/>
  <c r="AH8" i="3"/>
  <c r="AH7" i="3"/>
  <c r="AH6" i="3"/>
  <c r="AH5" i="3"/>
  <c r="AH4" i="3"/>
  <c r="H21" i="3" l="1"/>
  <c r="H20" i="3"/>
  <c r="H19" i="3"/>
  <c r="H14" i="3"/>
  <c r="H12" i="3"/>
  <c r="H11" i="3"/>
  <c r="H10" i="3"/>
  <c r="H9" i="3"/>
  <c r="H8" i="3"/>
  <c r="H7" i="3"/>
  <c r="H6" i="3"/>
  <c r="H5" i="3"/>
  <c r="D154" i="2"/>
  <c r="G9" i="5" l="1"/>
  <c r="G113" i="5" s="1"/>
  <c r="E56" i="1"/>
  <c r="E22" i="1" s="1"/>
  <c r="E55" i="1"/>
  <c r="D26" i="1"/>
  <c r="D25" i="1"/>
  <c r="E23" i="1"/>
  <c r="D56" i="1" l="1"/>
  <c r="E21" i="1"/>
  <c r="D55" i="1"/>
  <c r="N94" i="9"/>
  <c r="C238" i="9" l="1"/>
  <c r="C237" i="9"/>
  <c r="C230" i="9"/>
  <c r="C229" i="9"/>
  <c r="C227" i="9"/>
  <c r="C111" i="9"/>
  <c r="C102" i="9"/>
  <c r="C101" i="9"/>
  <c r="C90" i="9"/>
  <c r="L14" i="9"/>
  <c r="L13" i="9"/>
  <c r="L12" i="9"/>
  <c r="L11" i="9"/>
  <c r="L10" i="9"/>
  <c r="J14" i="9"/>
  <c r="C75" i="10" l="1"/>
  <c r="C71" i="10"/>
  <c r="H229" i="2" l="1"/>
  <c r="G12" i="12" l="1"/>
  <c r="H18" i="3" l="1"/>
  <c r="H13" i="3" l="1"/>
  <c r="H16" i="3" l="1"/>
  <c r="H15" i="3" l="1"/>
  <c r="D22" i="3"/>
  <c r="Y22" i="3" s="1"/>
  <c r="H17" i="3"/>
  <c r="D97" i="2" l="1"/>
  <c r="D171" i="2" l="1"/>
  <c r="H112" i="2" l="1"/>
  <c r="D112" i="2"/>
  <c r="D192" i="2" l="1"/>
  <c r="D61" i="2" l="1"/>
  <c r="C64" i="12" l="1"/>
  <c r="C15" i="12" l="1"/>
  <c r="H144" i="2"/>
  <c r="I144" i="2" s="1"/>
  <c r="D144" i="2"/>
  <c r="E144" i="2" s="1"/>
  <c r="D145" i="2"/>
  <c r="G68" i="1"/>
  <c r="E68" i="1"/>
  <c r="D68" i="1"/>
  <c r="C68" i="1"/>
  <c r="M68" i="1" s="1"/>
  <c r="P67" i="1"/>
  <c r="E67" i="1"/>
  <c r="C67" i="1"/>
  <c r="M67" i="1" s="1"/>
  <c r="P70" i="1"/>
  <c r="O70" i="1"/>
  <c r="M70" i="1"/>
  <c r="P69" i="1"/>
  <c r="O69" i="1"/>
  <c r="M69" i="1"/>
  <c r="D69" i="1"/>
  <c r="N69" i="1" s="1"/>
  <c r="P68" i="1"/>
  <c r="O68" i="1" l="1"/>
  <c r="O67" i="1"/>
  <c r="D67" i="1"/>
  <c r="N67" i="1" s="1"/>
  <c r="Q70" i="1"/>
  <c r="Q68" i="1"/>
  <c r="N70" i="1"/>
  <c r="J70" i="1"/>
  <c r="K70" i="1" s="1"/>
  <c r="J69" i="1"/>
  <c r="N68" i="1"/>
  <c r="G69" i="1"/>
  <c r="G67" i="1" s="1"/>
  <c r="J67" i="1" l="1"/>
  <c r="K67" i="1" s="1"/>
  <c r="K69" i="1"/>
  <c r="Q69" i="1"/>
  <c r="J68" i="1"/>
  <c r="K68" i="1" s="1"/>
  <c r="Q67" i="1" l="1"/>
  <c r="D185" i="2" l="1"/>
  <c r="E185" i="2" s="1"/>
  <c r="E128" i="2" l="1"/>
  <c r="E127" i="2"/>
  <c r="D126" i="2" l="1"/>
  <c r="E126" i="2" s="1"/>
  <c r="D125" i="2"/>
  <c r="D229" i="2" l="1"/>
  <c r="B65" i="12" l="1"/>
  <c r="I167" i="2" l="1"/>
  <c r="E167" i="2"/>
  <c r="D196" i="2" l="1"/>
  <c r="D191" i="2"/>
  <c r="I55" i="2" l="1"/>
  <c r="E55" i="2"/>
  <c r="D75" i="2" l="1"/>
  <c r="C12" i="12" l="1"/>
  <c r="H93" i="2" l="1"/>
  <c r="I93" i="2" s="1"/>
  <c r="D93" i="2"/>
  <c r="E93" i="2" s="1"/>
  <c r="G3" i="2" l="1"/>
  <c r="D83" i="2"/>
  <c r="D35" i="2"/>
  <c r="C3" i="2" l="1"/>
  <c r="G48" i="5"/>
  <c r="G152" i="5" s="1"/>
  <c r="G75" i="5" l="1"/>
  <c r="G179" i="5" s="1"/>
  <c r="G28" i="5"/>
  <c r="G132" i="5" s="1"/>
  <c r="G8" i="5"/>
  <c r="G112" i="5" s="1"/>
  <c r="G5" i="5"/>
  <c r="G109" i="5" s="1"/>
  <c r="C24" i="1" l="1"/>
  <c r="C23" i="1"/>
  <c r="O42" i="1"/>
  <c r="N42" i="1"/>
  <c r="M42" i="1"/>
  <c r="J42" i="1"/>
  <c r="G42" i="1"/>
  <c r="Q42" i="1" s="1"/>
  <c r="P42" i="1"/>
  <c r="O41" i="1"/>
  <c r="N41" i="1"/>
  <c r="M41" i="1"/>
  <c r="J41" i="1"/>
  <c r="G41" i="1"/>
  <c r="Q41" i="1" s="1"/>
  <c r="P41" i="1"/>
  <c r="O44" i="1"/>
  <c r="N44" i="1"/>
  <c r="M44" i="1"/>
  <c r="J44" i="1"/>
  <c r="G44" i="1"/>
  <c r="Q44" i="1" s="1"/>
  <c r="P44" i="1"/>
  <c r="O43" i="1"/>
  <c r="N43" i="1"/>
  <c r="M43" i="1"/>
  <c r="J43" i="1"/>
  <c r="G43" i="1"/>
  <c r="Q43" i="1" s="1"/>
  <c r="P43" i="1"/>
  <c r="K42" i="1" l="1"/>
  <c r="K43" i="1"/>
  <c r="K41" i="1"/>
  <c r="K44" i="1"/>
  <c r="H7" i="2"/>
  <c r="I7" i="2" s="1"/>
  <c r="I134" i="2"/>
  <c r="H146" i="2"/>
  <c r="H120" i="2"/>
  <c r="H203" i="2"/>
  <c r="H190" i="2"/>
  <c r="H193" i="2"/>
  <c r="H200" i="2"/>
  <c r="H197" i="2" s="1"/>
  <c r="H202" i="2"/>
  <c r="H204" i="2"/>
  <c r="H205" i="2"/>
  <c r="H218" i="2"/>
  <c r="H201" i="2" l="1"/>
  <c r="H196" i="2"/>
  <c r="H192" i="2"/>
  <c r="H191" i="2"/>
  <c r="H171" i="2"/>
  <c r="H165" i="2"/>
  <c r="H154" i="2"/>
  <c r="H97" i="2"/>
  <c r="H184" i="2" l="1"/>
  <c r="H188" i="2"/>
  <c r="H111" i="2"/>
  <c r="H194" i="2"/>
  <c r="H189" i="2"/>
  <c r="H252" i="2"/>
  <c r="H155" i="2" l="1"/>
  <c r="G58" i="12"/>
  <c r="H8" i="2" l="1"/>
  <c r="I8" i="2" s="1"/>
  <c r="AH22" i="3"/>
  <c r="H253" i="2" l="1"/>
  <c r="I253" i="2" s="1"/>
  <c r="J66" i="1" l="1"/>
  <c r="J65" i="1"/>
  <c r="J64" i="1"/>
  <c r="J63" i="1"/>
  <c r="J62" i="1"/>
  <c r="J61" i="1"/>
  <c r="J60" i="1"/>
  <c r="J59" i="1"/>
  <c r="J58" i="1"/>
  <c r="J57" i="1"/>
  <c r="J54" i="1"/>
  <c r="J53" i="1"/>
  <c r="J52" i="1"/>
  <c r="J51" i="1"/>
  <c r="J50" i="1"/>
  <c r="J49" i="1"/>
  <c r="J48" i="1"/>
  <c r="J47" i="1"/>
  <c r="J40" i="1"/>
  <c r="J39" i="1"/>
  <c r="J38" i="1"/>
  <c r="J37" i="1"/>
  <c r="J36" i="1"/>
  <c r="J35" i="1"/>
  <c r="J34" i="1"/>
  <c r="J33" i="1"/>
  <c r="J32" i="1"/>
  <c r="J31" i="1"/>
  <c r="J30" i="1"/>
  <c r="J29" i="1"/>
  <c r="J28" i="1"/>
  <c r="J27" i="1"/>
  <c r="J26" i="1"/>
  <c r="J25" i="1"/>
  <c r="J20" i="1"/>
  <c r="J19" i="1"/>
  <c r="J18" i="1"/>
  <c r="J17" i="1"/>
  <c r="E72" i="12" l="1"/>
  <c r="P62" i="1" l="1"/>
  <c r="P61" i="1"/>
  <c r="P60" i="1"/>
  <c r="P59" i="1"/>
  <c r="P58" i="1"/>
  <c r="P57" i="1"/>
  <c r="P52" i="1"/>
  <c r="P51" i="1"/>
  <c r="P50" i="1"/>
  <c r="P49" i="1"/>
  <c r="P48" i="1"/>
  <c r="P47" i="1"/>
  <c r="P40" i="1"/>
  <c r="P39" i="1"/>
  <c r="P38" i="1"/>
  <c r="P37" i="1"/>
  <c r="P36" i="1"/>
  <c r="P35" i="1"/>
  <c r="P34" i="1"/>
  <c r="P33" i="1"/>
  <c r="P32" i="1"/>
  <c r="P31" i="1"/>
  <c r="P30" i="1"/>
  <c r="P29" i="1"/>
  <c r="P28" i="1"/>
  <c r="P27" i="1"/>
  <c r="P26" i="1"/>
  <c r="P25" i="1"/>
  <c r="P20" i="1"/>
  <c r="O20" i="1"/>
  <c r="M20" i="1"/>
  <c r="P19" i="1"/>
  <c r="O19" i="1"/>
  <c r="M19" i="1"/>
  <c r="D120" i="2"/>
  <c r="L113" i="9" l="1"/>
  <c r="J113" i="9"/>
  <c r="E14" i="1" l="1"/>
  <c r="E12" i="1" s="1"/>
  <c r="E13" i="1"/>
  <c r="E11" i="1" s="1"/>
  <c r="C14" i="1"/>
  <c r="C13" i="1"/>
  <c r="E16" i="1"/>
  <c r="E15" i="1"/>
  <c r="C16" i="1"/>
  <c r="C15" i="1"/>
  <c r="N20" i="1"/>
  <c r="N19" i="1"/>
  <c r="D15" i="1"/>
  <c r="H12" i="1" l="1"/>
  <c r="H11" i="1"/>
  <c r="H13" i="1"/>
  <c r="H14" i="1" s="1"/>
  <c r="J15" i="1"/>
  <c r="D16" i="1"/>
  <c r="J16" i="1" s="1"/>
  <c r="D14" i="1"/>
  <c r="J14" i="1" s="1"/>
  <c r="D13" i="1"/>
  <c r="J13" i="1" s="1"/>
  <c r="D23" i="12" l="1"/>
  <c r="L174" i="9" l="1"/>
  <c r="J174" i="9"/>
  <c r="K22" i="8"/>
  <c r="C57" i="11" l="1"/>
  <c r="B5" i="12" l="1"/>
  <c r="B70" i="12"/>
  <c r="B54" i="12"/>
  <c r="B60" i="12"/>
  <c r="H64" i="2" l="1"/>
  <c r="D64" i="2"/>
  <c r="D60" i="2"/>
  <c r="D7" i="2" l="1"/>
  <c r="E7" i="2" s="1"/>
  <c r="H5" i="12" l="1"/>
  <c r="D221" i="2"/>
  <c r="G24" i="5" l="1"/>
  <c r="G128" i="5" s="1"/>
  <c r="D111" i="2" l="1"/>
  <c r="I165" i="2" l="1"/>
  <c r="D162" i="2"/>
  <c r="H162" i="2"/>
  <c r="I162" i="2" s="1"/>
  <c r="D166" i="2"/>
  <c r="E166" i="2" s="1"/>
  <c r="B16" i="12"/>
  <c r="D146" i="2"/>
  <c r="E146" i="2" s="1"/>
  <c r="I146" i="2"/>
  <c r="D163" i="2" l="1"/>
  <c r="D165" i="2"/>
  <c r="E165" i="2" s="1"/>
  <c r="D184" i="2" l="1"/>
  <c r="C78" i="10" l="1"/>
  <c r="C77" i="10"/>
  <c r="E134" i="2" l="1"/>
  <c r="B15" i="12"/>
  <c r="B11" i="12" l="1"/>
  <c r="D47" i="2" l="1"/>
  <c r="G9" i="12"/>
  <c r="G92" i="5" l="1"/>
  <c r="G196" i="5" s="1"/>
  <c r="G11" i="5"/>
  <c r="G115" i="5" s="1"/>
  <c r="G37" i="5"/>
  <c r="G141" i="5" s="1"/>
  <c r="L10" i="5"/>
  <c r="G16" i="6" l="1"/>
  <c r="G38" i="6" s="1"/>
  <c r="G21" i="6"/>
  <c r="G43" i="6" s="1"/>
  <c r="G20" i="6"/>
  <c r="G42" i="6" s="1"/>
  <c r="G19" i="6"/>
  <c r="G41" i="6" s="1"/>
  <c r="G18" i="6"/>
  <c r="G40" i="6" s="1"/>
  <c r="G17" i="6"/>
  <c r="G39" i="6" s="1"/>
  <c r="G9" i="6"/>
  <c r="G31" i="6" s="1"/>
  <c r="G22" i="5"/>
  <c r="G126" i="5" s="1"/>
  <c r="G18" i="5"/>
  <c r="G122" i="5" s="1"/>
  <c r="G12" i="5" l="1"/>
  <c r="G116" i="5" s="1"/>
  <c r="H5" i="7"/>
  <c r="H22" i="7" s="1"/>
  <c r="P46" i="1" l="1"/>
  <c r="P45" i="1"/>
  <c r="B78" i="10" l="1"/>
  <c r="B77" i="10"/>
  <c r="B76" i="10"/>
  <c r="B74" i="10"/>
  <c r="B73" i="10"/>
  <c r="B72" i="10"/>
  <c r="G20" i="1" l="1"/>
  <c r="K20" i="1" s="1"/>
  <c r="G19" i="1"/>
  <c r="K19" i="1" s="1"/>
  <c r="P18" i="1"/>
  <c r="P17" i="1"/>
  <c r="Q19" i="1" l="1"/>
  <c r="Q20" i="1"/>
  <c r="D9" i="2" l="1"/>
  <c r="H163" i="2" l="1"/>
  <c r="H166" i="2"/>
  <c r="H227" i="2" l="1"/>
  <c r="P54" i="1"/>
  <c r="P53" i="1"/>
  <c r="H96" i="2"/>
  <c r="H40" i="2"/>
  <c r="H17" i="2" l="1"/>
  <c r="H55" i="12"/>
  <c r="B70" i="10"/>
  <c r="J1" i="10"/>
  <c r="F10" i="3" l="1"/>
  <c r="F21" i="3"/>
  <c r="F16" i="3"/>
  <c r="D95" i="12" l="1"/>
  <c r="C95" i="12"/>
  <c r="B95" i="12"/>
  <c r="I108" i="5"/>
  <c r="F108" i="5"/>
  <c r="E108" i="5"/>
  <c r="D108" i="5"/>
  <c r="C108" i="5"/>
  <c r="B108" i="5"/>
  <c r="A108" i="5"/>
  <c r="AG23" i="3" l="1"/>
  <c r="P16" i="1"/>
  <c r="P15" i="1"/>
  <c r="O16" i="1"/>
  <c r="O15" i="1"/>
  <c r="M16" i="1"/>
  <c r="M15" i="1"/>
  <c r="R139" i="10" l="1"/>
  <c r="Q139" i="10"/>
  <c r="P139" i="10"/>
  <c r="F139" i="10"/>
  <c r="S139" i="10" s="1"/>
  <c r="R138" i="10"/>
  <c r="P138" i="10"/>
  <c r="Q138" i="10"/>
  <c r="F138" i="10" l="1"/>
  <c r="S138" i="10" s="1"/>
  <c r="N16" i="1"/>
  <c r="N15" i="1"/>
  <c r="E22" i="8" l="1"/>
  <c r="L9" i="9" l="1"/>
  <c r="L246" i="9"/>
  <c r="L245" i="9"/>
  <c r="L244" i="9"/>
  <c r="L243" i="9"/>
  <c r="L241" i="9"/>
  <c r="L240" i="9"/>
  <c r="L239" i="9"/>
  <c r="L238" i="9"/>
  <c r="L237" i="9"/>
  <c r="L236" i="9"/>
  <c r="L235" i="9"/>
  <c r="L234" i="9"/>
  <c r="L233" i="9"/>
  <c r="L232" i="9"/>
  <c r="L231" i="9"/>
  <c r="L228" i="9"/>
  <c r="L226" i="9"/>
  <c r="L225" i="9"/>
  <c r="L224" i="9"/>
  <c r="L223" i="9"/>
  <c r="L222" i="9"/>
  <c r="L221" i="9"/>
  <c r="L220" i="9"/>
  <c r="L219" i="9"/>
  <c r="L218" i="9"/>
  <c r="L217" i="9"/>
  <c r="L216" i="9"/>
  <c r="L215" i="9"/>
  <c r="L214" i="9"/>
  <c r="L213" i="9"/>
  <c r="L212" i="9"/>
  <c r="L211" i="9"/>
  <c r="L210" i="9"/>
  <c r="L209" i="9"/>
  <c r="L208" i="9"/>
  <c r="L207" i="9"/>
  <c r="L206" i="9"/>
  <c r="L205" i="9"/>
  <c r="L204" i="9"/>
  <c r="L203" i="9"/>
  <c r="L202" i="9"/>
  <c r="L201" i="9"/>
  <c r="L200" i="9"/>
  <c r="L199" i="9"/>
  <c r="L198" i="9"/>
  <c r="L197" i="9"/>
  <c r="L196" i="9"/>
  <c r="L195" i="9"/>
  <c r="L194" i="9"/>
  <c r="L193" i="9"/>
  <c r="L192" i="9"/>
  <c r="L191" i="9"/>
  <c r="L190" i="9"/>
  <c r="L189" i="9"/>
  <c r="L188" i="9"/>
  <c r="L187" i="9"/>
  <c r="L186" i="9"/>
  <c r="L185" i="9"/>
  <c r="L184" i="9"/>
  <c r="L183" i="9"/>
  <c r="L182" i="9"/>
  <c r="L181" i="9"/>
  <c r="L180" i="9"/>
  <c r="L179" i="9"/>
  <c r="L178" i="9"/>
  <c r="L177" i="9"/>
  <c r="L176" i="9"/>
  <c r="L175" i="9"/>
  <c r="L173" i="9"/>
  <c r="L172" i="9"/>
  <c r="L171" i="9"/>
  <c r="L170" i="9"/>
  <c r="L169" i="9"/>
  <c r="L168" i="9"/>
  <c r="L167" i="9"/>
  <c r="L166" i="9"/>
  <c r="L165" i="9"/>
  <c r="L164" i="9"/>
  <c r="L163" i="9"/>
  <c r="L162" i="9"/>
  <c r="L161" i="9"/>
  <c r="L160" i="9"/>
  <c r="L159" i="9"/>
  <c r="L158" i="9"/>
  <c r="L157" i="9"/>
  <c r="L156" i="9"/>
  <c r="L155" i="9"/>
  <c r="L154" i="9"/>
  <c r="L153" i="9"/>
  <c r="L152" i="9"/>
  <c r="L151" i="9"/>
  <c r="L150" i="9"/>
  <c r="L149" i="9"/>
  <c r="L148" i="9"/>
  <c r="L147" i="9"/>
  <c r="L146" i="9"/>
  <c r="L145" i="9"/>
  <c r="L144" i="9"/>
  <c r="L143" i="9"/>
  <c r="L142" i="9"/>
  <c r="L141" i="9"/>
  <c r="L140" i="9"/>
  <c r="L139" i="9"/>
  <c r="L138" i="9"/>
  <c r="L137" i="9"/>
  <c r="L136" i="9"/>
  <c r="L135" i="9"/>
  <c r="L134" i="9"/>
  <c r="L133" i="9"/>
  <c r="L132" i="9"/>
  <c r="L131" i="9"/>
  <c r="L130" i="9"/>
  <c r="L129" i="9"/>
  <c r="L128" i="9"/>
  <c r="L127" i="9"/>
  <c r="L126" i="9"/>
  <c r="L125" i="9"/>
  <c r="L124" i="9"/>
  <c r="L123" i="9"/>
  <c r="L122" i="9"/>
  <c r="L121" i="9"/>
  <c r="L120" i="9"/>
  <c r="L119" i="9"/>
  <c r="L118" i="9"/>
  <c r="L117" i="9"/>
  <c r="L116" i="9"/>
  <c r="L115" i="9"/>
  <c r="L114" i="9"/>
  <c r="M114" i="9" s="1"/>
  <c r="L112" i="9"/>
  <c r="L110" i="9"/>
  <c r="L109" i="9"/>
  <c r="L108" i="9"/>
  <c r="L107" i="9"/>
  <c r="L106" i="9"/>
  <c r="L105" i="9"/>
  <c r="L104" i="9"/>
  <c r="L103" i="9"/>
  <c r="L102" i="9"/>
  <c r="L101" i="9"/>
  <c r="L100" i="9"/>
  <c r="L99" i="9"/>
  <c r="L98" i="9"/>
  <c r="L97" i="9"/>
  <c r="L96" i="9"/>
  <c r="L95" i="9"/>
  <c r="L94" i="9"/>
  <c r="L93" i="9"/>
  <c r="L92" i="9"/>
  <c r="L91" i="9"/>
  <c r="L90" i="9"/>
  <c r="L89" i="9"/>
  <c r="L88" i="9"/>
  <c r="L87" i="9"/>
  <c r="L86" i="9"/>
  <c r="L85" i="9"/>
  <c r="L84" i="9"/>
  <c r="L83" i="9"/>
  <c r="L82" i="9"/>
  <c r="L81" i="9"/>
  <c r="L80" i="9"/>
  <c r="L79" i="9"/>
  <c r="L78" i="9"/>
  <c r="L77" i="9"/>
  <c r="L76" i="9"/>
  <c r="L75" i="9"/>
  <c r="L74" i="9"/>
  <c r="L73" i="9"/>
  <c r="L72" i="9"/>
  <c r="L71" i="9"/>
  <c r="L70" i="9"/>
  <c r="L69" i="9"/>
  <c r="L68" i="9"/>
  <c r="L67" i="9"/>
  <c r="L66" i="9"/>
  <c r="L65" i="9"/>
  <c r="L64" i="9"/>
  <c r="L63" i="9"/>
  <c r="L62" i="9"/>
  <c r="L61" i="9"/>
  <c r="L60" i="9"/>
  <c r="L59" i="9"/>
  <c r="L58" i="9"/>
  <c r="L57" i="9"/>
  <c r="L56" i="9"/>
  <c r="L55" i="9"/>
  <c r="L54" i="9"/>
  <c r="L53" i="9"/>
  <c r="L52" i="9"/>
  <c r="L51" i="9"/>
  <c r="L50" i="9"/>
  <c r="L49" i="9"/>
  <c r="L48" i="9"/>
  <c r="L47" i="9"/>
  <c r="L46" i="9"/>
  <c r="L45" i="9"/>
  <c r="L44" i="9"/>
  <c r="L43" i="9"/>
  <c r="L42" i="9"/>
  <c r="L41" i="9"/>
  <c r="L40" i="9"/>
  <c r="L39" i="9"/>
  <c r="L38" i="9"/>
  <c r="L37" i="9"/>
  <c r="L36" i="9"/>
  <c r="L35" i="9"/>
  <c r="L34" i="9"/>
  <c r="L33" i="9"/>
  <c r="L32" i="9"/>
  <c r="L31" i="9"/>
  <c r="L30" i="9"/>
  <c r="L29" i="9"/>
  <c r="L28" i="9"/>
  <c r="L27" i="9"/>
  <c r="L26" i="9"/>
  <c r="L25" i="9"/>
  <c r="L24" i="9"/>
  <c r="L23" i="9"/>
  <c r="L22" i="9"/>
  <c r="L21" i="9"/>
  <c r="L20" i="9"/>
  <c r="L19" i="9"/>
  <c r="L18" i="9"/>
  <c r="L17" i="9"/>
  <c r="L16" i="9"/>
  <c r="L15" i="9"/>
  <c r="L230" i="9"/>
  <c r="L229" i="9"/>
  <c r="J229" i="9"/>
  <c r="L227" i="9"/>
  <c r="J227" i="9"/>
  <c r="L111" i="9"/>
  <c r="J110" i="9"/>
  <c r="L242" i="9"/>
  <c r="J240" i="9"/>
  <c r="J246" i="9"/>
  <c r="J245" i="9"/>
  <c r="J244" i="9"/>
  <c r="J243" i="9"/>
  <c r="J242" i="9"/>
  <c r="J241" i="9"/>
  <c r="J239" i="9"/>
  <c r="J238" i="9"/>
  <c r="J237" i="9"/>
  <c r="J236" i="9"/>
  <c r="J235" i="9"/>
  <c r="J234" i="9"/>
  <c r="J233" i="9"/>
  <c r="J232" i="9"/>
  <c r="J231" i="9"/>
  <c r="J230" i="9"/>
  <c r="J228" i="9"/>
  <c r="J226" i="9"/>
  <c r="J225" i="9"/>
  <c r="J224" i="9"/>
  <c r="J223" i="9"/>
  <c r="J222" i="9"/>
  <c r="J221" i="9"/>
  <c r="J220" i="9"/>
  <c r="J219" i="9"/>
  <c r="J218" i="9"/>
  <c r="J217" i="9"/>
  <c r="J216" i="9"/>
  <c r="J215" i="9"/>
  <c r="J214" i="9"/>
  <c r="J213" i="9"/>
  <c r="J212" i="9"/>
  <c r="J211" i="9"/>
  <c r="J210" i="9"/>
  <c r="J209" i="9"/>
  <c r="J208" i="9"/>
  <c r="J207" i="9"/>
  <c r="J206" i="9"/>
  <c r="J205" i="9"/>
  <c r="J204" i="9"/>
  <c r="J203" i="9"/>
  <c r="J202" i="9"/>
  <c r="J201" i="9"/>
  <c r="J200" i="9"/>
  <c r="J199" i="9"/>
  <c r="J198" i="9"/>
  <c r="J197" i="9"/>
  <c r="J196" i="9"/>
  <c r="J195" i="9"/>
  <c r="J194" i="9"/>
  <c r="J193" i="9"/>
  <c r="J192" i="9"/>
  <c r="J191" i="9"/>
  <c r="J190" i="9"/>
  <c r="J189" i="9"/>
  <c r="J188" i="9"/>
  <c r="J187" i="9"/>
  <c r="J186" i="9"/>
  <c r="J185" i="9"/>
  <c r="J184" i="9"/>
  <c r="J183" i="9"/>
  <c r="J182" i="9"/>
  <c r="J181" i="9"/>
  <c r="J180" i="9"/>
  <c r="J179" i="9"/>
  <c r="J178" i="9"/>
  <c r="J177" i="9"/>
  <c r="J176" i="9"/>
  <c r="J175" i="9"/>
  <c r="J173" i="9"/>
  <c r="J172" i="9"/>
  <c r="J171" i="9"/>
  <c r="J170" i="9"/>
  <c r="J169" i="9"/>
  <c r="J168" i="9"/>
  <c r="J167" i="9"/>
  <c r="J166" i="9"/>
  <c r="J165" i="9"/>
  <c r="J164" i="9"/>
  <c r="J163" i="9"/>
  <c r="J162" i="9"/>
  <c r="J161" i="9"/>
  <c r="J160" i="9"/>
  <c r="J159" i="9"/>
  <c r="J158" i="9"/>
  <c r="J157" i="9"/>
  <c r="J156" i="9"/>
  <c r="J155" i="9"/>
  <c r="J154" i="9"/>
  <c r="J153" i="9"/>
  <c r="J152" i="9"/>
  <c r="J151" i="9"/>
  <c r="J150" i="9"/>
  <c r="J149" i="9"/>
  <c r="J148" i="9"/>
  <c r="J147" i="9"/>
  <c r="J146" i="9"/>
  <c r="J145" i="9"/>
  <c r="J144" i="9"/>
  <c r="J143" i="9"/>
  <c r="J142" i="9"/>
  <c r="J141" i="9"/>
  <c r="J140" i="9"/>
  <c r="J139" i="9"/>
  <c r="J138" i="9"/>
  <c r="J137" i="9"/>
  <c r="J136" i="9"/>
  <c r="J135" i="9"/>
  <c r="J134" i="9"/>
  <c r="J133" i="9"/>
  <c r="J132" i="9"/>
  <c r="J131" i="9"/>
  <c r="J130" i="9"/>
  <c r="J129" i="9"/>
  <c r="J128" i="9"/>
  <c r="J127" i="9"/>
  <c r="J126" i="9"/>
  <c r="J125" i="9"/>
  <c r="J124" i="9"/>
  <c r="J123" i="9"/>
  <c r="J122" i="9"/>
  <c r="J121" i="9"/>
  <c r="J120" i="9"/>
  <c r="J119" i="9"/>
  <c r="J118" i="9"/>
  <c r="J117" i="9"/>
  <c r="J116" i="9"/>
  <c r="J115" i="9"/>
  <c r="J114" i="9"/>
  <c r="J112" i="9"/>
  <c r="J111" i="9"/>
  <c r="J109" i="9"/>
  <c r="J108" i="9"/>
  <c r="J107" i="9"/>
  <c r="J106" i="9"/>
  <c r="J105" i="9"/>
  <c r="J104" i="9"/>
  <c r="J103" i="9"/>
  <c r="J102" i="9"/>
  <c r="J101" i="9"/>
  <c r="J100" i="9"/>
  <c r="J99" i="9"/>
  <c r="J98" i="9"/>
  <c r="J97" i="9"/>
  <c r="J96" i="9"/>
  <c r="J95" i="9"/>
  <c r="J94" i="9"/>
  <c r="J93" i="9"/>
  <c r="J92" i="9"/>
  <c r="J91" i="9"/>
  <c r="J90" i="9"/>
  <c r="J89" i="9"/>
  <c r="J88" i="9"/>
  <c r="J87" i="9"/>
  <c r="J86" i="9"/>
  <c r="J85" i="9"/>
  <c r="J84" i="9"/>
  <c r="J83" i="9"/>
  <c r="J82" i="9"/>
  <c r="J81" i="9"/>
  <c r="J80" i="9"/>
  <c r="J79" i="9"/>
  <c r="J78" i="9"/>
  <c r="J77" i="9"/>
  <c r="J76" i="9"/>
  <c r="J75" i="9"/>
  <c r="J74" i="9"/>
  <c r="J73" i="9"/>
  <c r="J72" i="9"/>
  <c r="J71" i="9"/>
  <c r="J70" i="9"/>
  <c r="J69" i="9"/>
  <c r="J68" i="9"/>
  <c r="J67" i="9"/>
  <c r="J66" i="9"/>
  <c r="J65" i="9"/>
  <c r="J64" i="9"/>
  <c r="J63" i="9"/>
  <c r="J62" i="9"/>
  <c r="J61" i="9"/>
  <c r="J60" i="9"/>
  <c r="J59" i="9"/>
  <c r="J58" i="9"/>
  <c r="J57" i="9"/>
  <c r="J56" i="9"/>
  <c r="J55" i="9"/>
  <c r="J54" i="9"/>
  <c r="J53" i="9"/>
  <c r="J52" i="9"/>
  <c r="J51" i="9"/>
  <c r="J50" i="9"/>
  <c r="J49" i="9"/>
  <c r="J48" i="9"/>
  <c r="J47" i="9"/>
  <c r="J46" i="9"/>
  <c r="J45" i="9"/>
  <c r="J44" i="9"/>
  <c r="J43" i="9"/>
  <c r="J42" i="9"/>
  <c r="J41" i="9"/>
  <c r="J40" i="9"/>
  <c r="J39" i="9"/>
  <c r="J38" i="9"/>
  <c r="J37" i="9"/>
  <c r="J36" i="9"/>
  <c r="J35" i="9"/>
  <c r="J34" i="9"/>
  <c r="J33" i="9"/>
  <c r="J32" i="9"/>
  <c r="J31" i="9"/>
  <c r="J30" i="9"/>
  <c r="J29" i="9"/>
  <c r="J28" i="9"/>
  <c r="J27" i="9"/>
  <c r="J26" i="9"/>
  <c r="J25" i="9"/>
  <c r="J24" i="9"/>
  <c r="J23" i="9"/>
  <c r="J22" i="9"/>
  <c r="J21" i="9"/>
  <c r="J20" i="9"/>
  <c r="J19" i="9"/>
  <c r="J18" i="9"/>
  <c r="J17" i="9"/>
  <c r="J16" i="9"/>
  <c r="J15" i="9"/>
  <c r="J13" i="9"/>
  <c r="J12" i="9"/>
  <c r="J11" i="9"/>
  <c r="J10" i="9"/>
  <c r="J9" i="9"/>
  <c r="M94" i="9" l="1"/>
  <c r="M55" i="9"/>
  <c r="N55" i="9" s="1"/>
  <c r="M219" i="9"/>
  <c r="C7" i="9"/>
  <c r="L7" i="9"/>
  <c r="B27" i="8" l="1"/>
  <c r="B1" i="8"/>
  <c r="E162" i="2" l="1"/>
  <c r="I209" i="2" l="1"/>
  <c r="E209" i="2"/>
  <c r="E199" i="2" l="1"/>
  <c r="E198" i="2"/>
  <c r="E195" i="2"/>
  <c r="D201" i="2"/>
  <c r="G36" i="5" l="1"/>
  <c r="G140" i="5" s="1"/>
  <c r="D96" i="2" l="1"/>
  <c r="D251" i="2" l="1"/>
  <c r="H159" i="2" l="1"/>
  <c r="D2" i="5" l="1"/>
  <c r="E249" i="2" l="1"/>
  <c r="E244" i="2"/>
  <c r="E241" i="2"/>
  <c r="E129" i="2" l="1"/>
  <c r="E123" i="2"/>
  <c r="E120" i="2"/>
  <c r="E119" i="2"/>
  <c r="E116" i="2"/>
  <c r="D11" i="12"/>
  <c r="C11" i="12" l="1"/>
  <c r="G91" i="5" l="1"/>
  <c r="G195" i="5" s="1"/>
  <c r="G95" i="5"/>
  <c r="G199" i="5" s="1"/>
  <c r="E232" i="2"/>
  <c r="D230" i="2"/>
  <c r="E230" i="2" s="1"/>
  <c r="H230" i="2"/>
  <c r="I230" i="2" s="1"/>
  <c r="I232" i="2"/>
  <c r="D233" i="2"/>
  <c r="E233" i="2" s="1"/>
  <c r="H233" i="2"/>
  <c r="I233" i="2" s="1"/>
  <c r="D231" i="2"/>
  <c r="E231" i="2" l="1"/>
  <c r="H9" i="7" l="1"/>
  <c r="H26" i="7" s="1"/>
  <c r="E2" i="5" l="1"/>
  <c r="L11" i="5" s="1"/>
  <c r="O11" i="5" s="1"/>
  <c r="P11" i="5" s="1"/>
  <c r="D252" i="2" l="1"/>
  <c r="D253" i="2"/>
  <c r="E253" i="2" s="1"/>
  <c r="G63" i="5" l="1"/>
  <c r="G167" i="5" s="1"/>
  <c r="G62" i="5" l="1"/>
  <c r="G166" i="5" s="1"/>
  <c r="E187" i="2" l="1"/>
  <c r="E184" i="2"/>
  <c r="E182" i="2"/>
  <c r="E179" i="2"/>
  <c r="E178" i="2"/>
  <c r="E175" i="2"/>
  <c r="E85" i="2" l="1"/>
  <c r="E82" i="2"/>
  <c r="E92" i="2"/>
  <c r="E89" i="2"/>
  <c r="E83" i="2"/>
  <c r="D73" i="10" l="1"/>
  <c r="D78" i="10"/>
  <c r="D77" i="10"/>
  <c r="D76" i="10"/>
  <c r="D75" i="10"/>
  <c r="D74" i="10"/>
  <c r="D72" i="10"/>
  <c r="D70" i="10"/>
  <c r="D115" i="10" l="1"/>
  <c r="G115" i="10" s="1"/>
  <c r="D40" i="2"/>
  <c r="D109" i="10" l="1"/>
  <c r="F2" i="5"/>
  <c r="L12" i="5" s="1"/>
  <c r="L16" i="5" s="1"/>
  <c r="G6" i="12" l="1"/>
  <c r="H8" i="7"/>
  <c r="H25" i="7" s="1"/>
  <c r="F105" i="5"/>
  <c r="F209" i="5" s="1"/>
  <c r="E105" i="5"/>
  <c r="E209" i="5" s="1"/>
  <c r="G4" i="5"/>
  <c r="G108" i="5" s="1"/>
  <c r="H108" i="5" l="1"/>
  <c r="D17" i="2"/>
  <c r="H6" i="12" l="1"/>
  <c r="D8" i="2"/>
  <c r="E8" i="2" s="1"/>
  <c r="G99" i="5" l="1"/>
  <c r="G203" i="5" s="1"/>
  <c r="G86" i="5" l="1"/>
  <c r="G190" i="5" s="1"/>
  <c r="G85" i="5"/>
  <c r="G189" i="5" s="1"/>
  <c r="G83" i="5"/>
  <c r="G187" i="5" s="1"/>
  <c r="G82" i="5"/>
  <c r="G186" i="5" s="1"/>
  <c r="G81" i="5"/>
  <c r="G185" i="5" s="1"/>
  <c r="G80" i="5"/>
  <c r="G184" i="5" s="1"/>
  <c r="G65" i="5" l="1"/>
  <c r="G169" i="5" s="1"/>
  <c r="I22" i="6"/>
  <c r="I44" i="6" s="1"/>
  <c r="H22" i="6"/>
  <c r="H44" i="6" s="1"/>
  <c r="F22" i="6"/>
  <c r="F44" i="6" s="1"/>
  <c r="E22" i="6"/>
  <c r="E44" i="6" s="1"/>
  <c r="D22" i="6"/>
  <c r="D44" i="6" s="1"/>
  <c r="G64" i="5" l="1"/>
  <c r="G168" i="5" s="1"/>
  <c r="G59" i="5"/>
  <c r="G163" i="5" s="1"/>
  <c r="G60" i="5"/>
  <c r="G164" i="5" s="1"/>
  <c r="G58" i="5"/>
  <c r="G162" i="5" s="1"/>
  <c r="G52" i="5"/>
  <c r="G156" i="5" s="1"/>
  <c r="G51" i="5"/>
  <c r="G155" i="5" s="1"/>
  <c r="G49" i="5"/>
  <c r="G153" i="5" s="1"/>
  <c r="G35" i="5"/>
  <c r="G139" i="5" s="1"/>
  <c r="G15" i="6"/>
  <c r="G37" i="6" s="1"/>
  <c r="G12" i="6"/>
  <c r="G34" i="6" s="1"/>
  <c r="G34" i="5" l="1"/>
  <c r="G138" i="5" s="1"/>
  <c r="G33" i="5"/>
  <c r="G137" i="5" s="1"/>
  <c r="G32" i="5"/>
  <c r="G136" i="5" s="1"/>
  <c r="G27" i="5" l="1"/>
  <c r="G131" i="5" s="1"/>
  <c r="G30" i="5"/>
  <c r="G134" i="5" s="1"/>
  <c r="H16" i="7"/>
  <c r="H33" i="7" s="1"/>
  <c r="H15" i="7"/>
  <c r="H32" i="7" s="1"/>
  <c r="H12" i="7"/>
  <c r="H29" i="7" s="1"/>
  <c r="P66" i="1" l="1"/>
  <c r="O66" i="1"/>
  <c r="M66" i="1"/>
  <c r="P65" i="1"/>
  <c r="O65" i="1"/>
  <c r="N65" i="1"/>
  <c r="M65" i="1"/>
  <c r="O64" i="1"/>
  <c r="N64" i="1"/>
  <c r="M64" i="1"/>
  <c r="P63" i="1"/>
  <c r="O63" i="1"/>
  <c r="M63" i="1"/>
  <c r="O62" i="1"/>
  <c r="N62" i="1"/>
  <c r="M62" i="1"/>
  <c r="O61" i="1"/>
  <c r="N61" i="1"/>
  <c r="M61" i="1"/>
  <c r="O60" i="1"/>
  <c r="M60" i="1"/>
  <c r="O58" i="1"/>
  <c r="N58" i="1"/>
  <c r="M58" i="1"/>
  <c r="O57" i="1"/>
  <c r="N57" i="1"/>
  <c r="M57" i="1"/>
  <c r="O54" i="1"/>
  <c r="N54" i="1"/>
  <c r="M54" i="1"/>
  <c r="O53" i="1"/>
  <c r="N53" i="1"/>
  <c r="M53" i="1"/>
  <c r="O52" i="1"/>
  <c r="M52" i="1"/>
  <c r="O51" i="1"/>
  <c r="M51" i="1"/>
  <c r="O50" i="1"/>
  <c r="N50" i="1"/>
  <c r="M50" i="1"/>
  <c r="O49" i="1"/>
  <c r="N49" i="1"/>
  <c r="M49" i="1"/>
  <c r="O48" i="1"/>
  <c r="M48" i="1"/>
  <c r="O47" i="1"/>
  <c r="M47" i="1"/>
  <c r="O46" i="1"/>
  <c r="M46" i="1"/>
  <c r="O45" i="1"/>
  <c r="M45" i="1"/>
  <c r="O40" i="1"/>
  <c r="N40" i="1"/>
  <c r="M40" i="1"/>
  <c r="O39" i="1"/>
  <c r="N39" i="1"/>
  <c r="M39" i="1"/>
  <c r="O38" i="1"/>
  <c r="M38" i="1"/>
  <c r="O37" i="1"/>
  <c r="N37" i="1"/>
  <c r="M37" i="1"/>
  <c r="O36" i="1"/>
  <c r="N36" i="1"/>
  <c r="M36" i="1"/>
  <c r="O35" i="1"/>
  <c r="N35" i="1"/>
  <c r="M35" i="1"/>
  <c r="O34" i="1"/>
  <c r="N34" i="1"/>
  <c r="M34" i="1"/>
  <c r="O33" i="1"/>
  <c r="N33" i="1"/>
  <c r="M33" i="1"/>
  <c r="O32" i="1"/>
  <c r="N32" i="1"/>
  <c r="M32" i="1"/>
  <c r="O31" i="1"/>
  <c r="N31" i="1"/>
  <c r="M31" i="1"/>
  <c r="O30" i="1"/>
  <c r="N30" i="1"/>
  <c r="M30" i="1"/>
  <c r="O29" i="1"/>
  <c r="N29" i="1"/>
  <c r="M29" i="1"/>
  <c r="O28" i="1"/>
  <c r="N28" i="1"/>
  <c r="M28" i="1"/>
  <c r="O27" i="1"/>
  <c r="N27" i="1"/>
  <c r="M27" i="1"/>
  <c r="O26" i="1"/>
  <c r="M26" i="1"/>
  <c r="O25" i="1"/>
  <c r="M25" i="1"/>
  <c r="P23" i="1"/>
  <c r="P13" i="1"/>
  <c r="P14" i="1"/>
  <c r="P10" i="1"/>
  <c r="O10" i="1"/>
  <c r="M10" i="1"/>
  <c r="O9" i="1"/>
  <c r="M9" i="1"/>
  <c r="O8" i="1"/>
  <c r="M8" i="1"/>
  <c r="O7" i="1"/>
  <c r="M7" i="1"/>
  <c r="P6" i="1"/>
  <c r="O6" i="1"/>
  <c r="M6" i="1"/>
  <c r="D21" i="12"/>
  <c r="C21" i="12"/>
  <c r="D70" i="12"/>
  <c r="D93" i="12" s="1"/>
  <c r="B93" i="12"/>
  <c r="D263" i="2"/>
  <c r="D262" i="2"/>
  <c r="D260" i="2" s="1"/>
  <c r="D259" i="2"/>
  <c r="D256" i="2"/>
  <c r="D255" i="2"/>
  <c r="D250" i="2"/>
  <c r="H262" i="2" l="1"/>
  <c r="I262" i="2" s="1"/>
  <c r="H263" i="2"/>
  <c r="H259" i="2"/>
  <c r="C70" i="12"/>
  <c r="C93" i="12" s="1"/>
  <c r="E255" i="2"/>
  <c r="E252" i="2"/>
  <c r="E251" i="2"/>
  <c r="E262" i="2"/>
  <c r="H256" i="2"/>
  <c r="H255" i="2"/>
  <c r="I255" i="2" s="1"/>
  <c r="I252" i="2"/>
  <c r="H251" i="2"/>
  <c r="I251" i="2" s="1"/>
  <c r="H250" i="2"/>
  <c r="F70" i="12"/>
  <c r="F93" i="12" s="1"/>
  <c r="D69" i="12"/>
  <c r="D92" i="12" s="1"/>
  <c r="D20" i="12"/>
  <c r="C20" i="12"/>
  <c r="B20" i="12"/>
  <c r="D248" i="2"/>
  <c r="D246" i="2"/>
  <c r="E246" i="2" s="1"/>
  <c r="D245" i="2"/>
  <c r="E245" i="2" s="1"/>
  <c r="D242" i="2"/>
  <c r="E242" i="2" s="1"/>
  <c r="D240" i="2"/>
  <c r="E240" i="2" s="1"/>
  <c r="D239" i="2"/>
  <c r="E239" i="2" s="1"/>
  <c r="D238" i="2"/>
  <c r="E238" i="2" s="1"/>
  <c r="D237" i="2"/>
  <c r="E237" i="2" s="1"/>
  <c r="E236" i="2"/>
  <c r="D235" i="2"/>
  <c r="D234" i="2"/>
  <c r="E234" i="2" s="1"/>
  <c r="H248" i="2"/>
  <c r="I248" i="2" s="1"/>
  <c r="H246" i="2"/>
  <c r="C69" i="12"/>
  <c r="C92" i="12" s="1"/>
  <c r="F21" i="12" l="1"/>
  <c r="F44" i="12" s="1"/>
  <c r="E248" i="2"/>
  <c r="D247" i="2"/>
  <c r="E247" i="2" s="1"/>
  <c r="H260" i="2"/>
  <c r="H257" i="2"/>
  <c r="I246" i="2"/>
  <c r="D257" i="2" l="1"/>
  <c r="G21" i="12"/>
  <c r="G70" i="12"/>
  <c r="G93" i="12" s="1"/>
  <c r="H247" i="2"/>
  <c r="H239" i="2"/>
  <c r="I239" i="2" s="1"/>
  <c r="H238" i="2"/>
  <c r="I238" i="2" s="1"/>
  <c r="H235" i="2"/>
  <c r="B69" i="12"/>
  <c r="B92" i="12" s="1"/>
  <c r="D68" i="12"/>
  <c r="D91" i="12" s="1"/>
  <c r="D19" i="12"/>
  <c r="C19" i="12"/>
  <c r="D224" i="2"/>
  <c r="E224" i="2" s="1"/>
  <c r="D223" i="2"/>
  <c r="E223" i="2" s="1"/>
  <c r="D222" i="2"/>
  <c r="E222" i="2" s="1"/>
  <c r="E221" i="2"/>
  <c r="D220" i="2"/>
  <c r="E220" i="2" s="1"/>
  <c r="D219" i="2"/>
  <c r="B19" i="12"/>
  <c r="G68" i="12"/>
  <c r="G91" i="12" s="1"/>
  <c r="H231" i="2" l="1"/>
  <c r="I231" i="2" s="1"/>
  <c r="G69" i="12"/>
  <c r="G92" i="12" s="1"/>
  <c r="H236" i="2"/>
  <c r="I236" i="2" s="1"/>
  <c r="H237" i="2"/>
  <c r="I237" i="2" s="1"/>
  <c r="H240" i="2"/>
  <c r="I240" i="2" s="1"/>
  <c r="F20" i="12"/>
  <c r="F43" i="12" s="1"/>
  <c r="F69" i="12"/>
  <c r="F92" i="12" s="1"/>
  <c r="C68" i="12"/>
  <c r="C91" i="12" s="1"/>
  <c r="H222" i="2"/>
  <c r="I222" i="2" s="1"/>
  <c r="H219" i="2"/>
  <c r="B68" i="12"/>
  <c r="B91" i="12" s="1"/>
  <c r="D227" i="2" l="1"/>
  <c r="F19" i="12"/>
  <c r="F42" i="12" s="1"/>
  <c r="H224" i="2"/>
  <c r="I224" i="2" s="1"/>
  <c r="H223" i="2"/>
  <c r="I223" i="2" s="1"/>
  <c r="H221" i="2"/>
  <c r="I221" i="2" s="1"/>
  <c r="E68" i="12"/>
  <c r="E91" i="12" s="1"/>
  <c r="G19" i="12"/>
  <c r="H220" i="2"/>
  <c r="I220" i="2" s="1"/>
  <c r="D18" i="12"/>
  <c r="C18" i="12"/>
  <c r="B18" i="12"/>
  <c r="D205" i="2"/>
  <c r="E205" i="2" s="1"/>
  <c r="D204" i="2"/>
  <c r="E204" i="2" s="1"/>
  <c r="D203" i="2"/>
  <c r="E203" i="2" s="1"/>
  <c r="I205" i="2"/>
  <c r="I204" i="2"/>
  <c r="D218" i="2"/>
  <c r="D202" i="2"/>
  <c r="E202" i="2" s="1"/>
  <c r="E201" i="2"/>
  <c r="D200" i="2"/>
  <c r="E196" i="2"/>
  <c r="D194" i="2"/>
  <c r="E194" i="2" s="1"/>
  <c r="D193" i="2"/>
  <c r="E193" i="2" s="1"/>
  <c r="E192" i="2"/>
  <c r="E191" i="2"/>
  <c r="D190" i="2"/>
  <c r="E190" i="2" s="1"/>
  <c r="D189" i="2"/>
  <c r="E189" i="2" s="1"/>
  <c r="I217" i="2"/>
  <c r="E217" i="2"/>
  <c r="C67" i="12"/>
  <c r="C90" i="12" s="1"/>
  <c r="I202" i="2"/>
  <c r="E200" i="2" l="1"/>
  <c r="D197" i="2"/>
  <c r="G67" i="12"/>
  <c r="F68" i="12"/>
  <c r="F91" i="12" s="1"/>
  <c r="B67" i="12"/>
  <c r="B90" i="12" s="1"/>
  <c r="I192" i="2"/>
  <c r="I190" i="2"/>
  <c r="B17" i="12"/>
  <c r="B66" i="12"/>
  <c r="B89" i="12" s="1"/>
  <c r="D173" i="2"/>
  <c r="E173" i="2" s="1"/>
  <c r="H173" i="2"/>
  <c r="I173" i="2" s="1"/>
  <c r="I189" i="2" l="1"/>
  <c r="I191" i="2"/>
  <c r="I193" i="2"/>
  <c r="I194" i="2"/>
  <c r="D17" i="12"/>
  <c r="C17" i="12"/>
  <c r="D183" i="2"/>
  <c r="E183" i="2" s="1"/>
  <c r="D181" i="2"/>
  <c r="E181" i="2" s="1"/>
  <c r="D180" i="2"/>
  <c r="E180" i="2" s="1"/>
  <c r="D176" i="2"/>
  <c r="E176" i="2" s="1"/>
  <c r="D174" i="2"/>
  <c r="E174" i="2" s="1"/>
  <c r="D172" i="2"/>
  <c r="E172" i="2" s="1"/>
  <c r="E171" i="2"/>
  <c r="D170" i="2"/>
  <c r="E170" i="2" s="1"/>
  <c r="D169" i="2"/>
  <c r="E169" i="2" s="1"/>
  <c r="D168" i="2"/>
  <c r="G18" i="12" l="1"/>
  <c r="F17" i="12"/>
  <c r="F40" i="12" s="1"/>
  <c r="H183" i="2"/>
  <c r="I183" i="2" s="1"/>
  <c r="H181" i="2"/>
  <c r="H180" i="2"/>
  <c r="H177" i="2" s="1"/>
  <c r="C66" i="12"/>
  <c r="C89" i="12" s="1"/>
  <c r="H172" i="2"/>
  <c r="I172" i="2" s="1"/>
  <c r="I171" i="2"/>
  <c r="H168" i="2"/>
  <c r="H174" i="2"/>
  <c r="D16" i="12"/>
  <c r="C16" i="12"/>
  <c r="D161" i="2"/>
  <c r="E161" i="2" s="1"/>
  <c r="D158" i="2"/>
  <c r="D157" i="2"/>
  <c r="D152" i="2"/>
  <c r="E152" i="2" s="1"/>
  <c r="D151" i="2"/>
  <c r="E151" i="2" s="1"/>
  <c r="D149" i="2"/>
  <c r="D148" i="2"/>
  <c r="D147" i="2"/>
  <c r="C65" i="12"/>
  <c r="C88" i="12" s="1"/>
  <c r="H161" i="2"/>
  <c r="I161" i="2" s="1"/>
  <c r="H158" i="2"/>
  <c r="H151" i="2"/>
  <c r="I151" i="2" s="1"/>
  <c r="H150" i="2"/>
  <c r="I150" i="2" s="1"/>
  <c r="H147" i="2"/>
  <c r="B88" i="12"/>
  <c r="F16" i="12" l="1"/>
  <c r="F39" i="12" s="1"/>
  <c r="D159" i="2"/>
  <c r="H176" i="2"/>
  <c r="H170" i="2"/>
  <c r="I170" i="2" s="1"/>
  <c r="H148" i="2"/>
  <c r="I148" i="2" s="1"/>
  <c r="H152" i="2"/>
  <c r="I152" i="2" s="1"/>
  <c r="H169" i="2"/>
  <c r="I169" i="2" s="1"/>
  <c r="F66" i="12"/>
  <c r="F89" i="12" s="1"/>
  <c r="I174" i="2"/>
  <c r="G64" i="1"/>
  <c r="K64" i="1" s="1"/>
  <c r="G65" i="1"/>
  <c r="K65" i="1" s="1"/>
  <c r="G62" i="1"/>
  <c r="K62" i="1" s="1"/>
  <c r="G61" i="1"/>
  <c r="K61" i="1" s="1"/>
  <c r="G59" i="1"/>
  <c r="K59" i="1" s="1"/>
  <c r="G58" i="1"/>
  <c r="K58" i="1" s="1"/>
  <c r="G57" i="1"/>
  <c r="K57" i="1" s="1"/>
  <c r="G54" i="1"/>
  <c r="K54" i="1" s="1"/>
  <c r="G53" i="1"/>
  <c r="K53" i="1" s="1"/>
  <c r="G50" i="1"/>
  <c r="K50" i="1" s="1"/>
  <c r="G49" i="1"/>
  <c r="K49" i="1" s="1"/>
  <c r="G40" i="1"/>
  <c r="K40" i="1" s="1"/>
  <c r="G39" i="1"/>
  <c r="K39" i="1" s="1"/>
  <c r="G37" i="1"/>
  <c r="K37" i="1" s="1"/>
  <c r="G36" i="1"/>
  <c r="K36" i="1" s="1"/>
  <c r="G35" i="1"/>
  <c r="K35" i="1" s="1"/>
  <c r="G34" i="1"/>
  <c r="K34" i="1" s="1"/>
  <c r="G33" i="1"/>
  <c r="K33" i="1" s="1"/>
  <c r="G32" i="1"/>
  <c r="K32" i="1" s="1"/>
  <c r="G31" i="1"/>
  <c r="K31" i="1" s="1"/>
  <c r="G30" i="1"/>
  <c r="K30" i="1" s="1"/>
  <c r="G29" i="1"/>
  <c r="K29" i="1" s="1"/>
  <c r="G28" i="1"/>
  <c r="K28" i="1" s="1"/>
  <c r="G27" i="1"/>
  <c r="K27" i="1" s="1"/>
  <c r="G18" i="1"/>
  <c r="K18" i="1" s="1"/>
  <c r="G17" i="1"/>
  <c r="K17" i="1" s="1"/>
  <c r="D10" i="1"/>
  <c r="D9" i="1"/>
  <c r="D8" i="1"/>
  <c r="D7" i="1"/>
  <c r="D6" i="1"/>
  <c r="Q65" i="1" l="1"/>
  <c r="Q64" i="1"/>
  <c r="Q62" i="1"/>
  <c r="Q58" i="1"/>
  <c r="Q61" i="1"/>
  <c r="Q57" i="1"/>
  <c r="Q27" i="1"/>
  <c r="Q40" i="1"/>
  <c r="Q32" i="1"/>
  <c r="Q33" i="1"/>
  <c r="Q34" i="1"/>
  <c r="Q49" i="1"/>
  <c r="Q29" i="1"/>
  <c r="Q35" i="1"/>
  <c r="Q50" i="1"/>
  <c r="Q28" i="1"/>
  <c r="Q36" i="1"/>
  <c r="Q53" i="1"/>
  <c r="Q37" i="1"/>
  <c r="Q54" i="1"/>
  <c r="Q30" i="1"/>
  <c r="Q31" i="1"/>
  <c r="Q39" i="1"/>
  <c r="N9" i="1"/>
  <c r="J9" i="1"/>
  <c r="N6" i="1"/>
  <c r="J6" i="1"/>
  <c r="N10" i="1"/>
  <c r="J10" i="1"/>
  <c r="N8" i="1"/>
  <c r="J8" i="1"/>
  <c r="N7" i="1"/>
  <c r="J7" i="1"/>
  <c r="G14" i="1"/>
  <c r="K14" i="1" s="1"/>
  <c r="G16" i="1"/>
  <c r="K16" i="1" s="1"/>
  <c r="G13" i="1"/>
  <c r="K13" i="1" s="1"/>
  <c r="G15" i="1"/>
  <c r="K15" i="1" s="1"/>
  <c r="G66" i="1"/>
  <c r="K66" i="1" s="1"/>
  <c r="N66" i="1"/>
  <c r="G47" i="1"/>
  <c r="K47" i="1" s="1"/>
  <c r="N47" i="1"/>
  <c r="G63" i="1"/>
  <c r="K63" i="1" s="1"/>
  <c r="N63" i="1"/>
  <c r="G25" i="1"/>
  <c r="K25" i="1" s="1"/>
  <c r="N25" i="1"/>
  <c r="G48" i="1"/>
  <c r="K48" i="1" s="1"/>
  <c r="N48" i="1"/>
  <c r="G60" i="1"/>
  <c r="K60" i="1" s="1"/>
  <c r="N60" i="1"/>
  <c r="G51" i="1"/>
  <c r="K51" i="1" s="1"/>
  <c r="N51" i="1"/>
  <c r="G26" i="1"/>
  <c r="K26" i="1" s="1"/>
  <c r="N26" i="1"/>
  <c r="G38" i="1"/>
  <c r="K38" i="1" s="1"/>
  <c r="N38" i="1"/>
  <c r="G52" i="1"/>
  <c r="K52" i="1" s="1"/>
  <c r="N52" i="1"/>
  <c r="G65" i="12"/>
  <c r="G88" i="12" s="1"/>
  <c r="B87" i="12"/>
  <c r="D15" i="12"/>
  <c r="D141" i="2"/>
  <c r="D137" i="2"/>
  <c r="D135" i="2"/>
  <c r="E135" i="2" s="1"/>
  <c r="E133" i="2"/>
  <c r="D132" i="2"/>
  <c r="E132" i="2" s="1"/>
  <c r="D131" i="2"/>
  <c r="E131" i="2" s="1"/>
  <c r="D130" i="2"/>
  <c r="E130" i="2" s="1"/>
  <c r="H141" i="2"/>
  <c r="O23" i="1"/>
  <c r="M23" i="1"/>
  <c r="G55" i="1"/>
  <c r="N56" i="1"/>
  <c r="N55" i="1"/>
  <c r="C56" i="1"/>
  <c r="M56" i="1" s="1"/>
  <c r="C55" i="1"/>
  <c r="M55" i="1" s="1"/>
  <c r="G10" i="1"/>
  <c r="G9" i="1"/>
  <c r="G8" i="1"/>
  <c r="G7" i="1"/>
  <c r="G6" i="1"/>
  <c r="P56" i="1"/>
  <c r="P55" i="1"/>
  <c r="O14" i="1"/>
  <c r="N14" i="1"/>
  <c r="O13" i="1"/>
  <c r="N13" i="1"/>
  <c r="M14" i="1"/>
  <c r="M13" i="1"/>
  <c r="O18" i="1"/>
  <c r="N18" i="1"/>
  <c r="M18" i="1"/>
  <c r="Q18" i="1"/>
  <c r="Q17" i="1"/>
  <c r="O17" i="1"/>
  <c r="N17" i="1"/>
  <c r="M17" i="1"/>
  <c r="E5" i="1"/>
  <c r="D5" i="1"/>
  <c r="C5" i="1"/>
  <c r="P7" i="1"/>
  <c r="H130" i="2"/>
  <c r="I130" i="2" s="1"/>
  <c r="H137" i="2"/>
  <c r="C87" i="12"/>
  <c r="I143" i="2"/>
  <c r="E143" i="2"/>
  <c r="H131" i="2"/>
  <c r="I131" i="2" s="1"/>
  <c r="D14" i="12"/>
  <c r="C14" i="12"/>
  <c r="B14" i="12"/>
  <c r="D63" i="12"/>
  <c r="D86" i="12" s="1"/>
  <c r="E125" i="2"/>
  <c r="D124" i="2"/>
  <c r="E124" i="2" s="1"/>
  <c r="D122" i="2"/>
  <c r="E122" i="2" s="1"/>
  <c r="D121" i="2"/>
  <c r="E121" i="2" s="1"/>
  <c r="D117" i="2"/>
  <c r="E117" i="2" s="1"/>
  <c r="D115" i="2"/>
  <c r="E115" i="2" s="1"/>
  <c r="D114" i="2"/>
  <c r="E114" i="2" s="1"/>
  <c r="D113" i="2"/>
  <c r="E113" i="2" s="1"/>
  <c r="E112" i="2"/>
  <c r="E111" i="2"/>
  <c r="E110" i="2"/>
  <c r="D109" i="2"/>
  <c r="C63" i="12"/>
  <c r="C86" i="12" s="1"/>
  <c r="H124" i="2"/>
  <c r="I124" i="2" s="1"/>
  <c r="H121" i="2"/>
  <c r="H113" i="2"/>
  <c r="I113" i="2" s="1"/>
  <c r="I112" i="2"/>
  <c r="H109" i="2"/>
  <c r="B62" i="12"/>
  <c r="D13" i="12"/>
  <c r="D100" i="12" s="1"/>
  <c r="C13" i="12"/>
  <c r="C100" i="12" s="1"/>
  <c r="B13" i="12"/>
  <c r="B100" i="12" s="1"/>
  <c r="D108" i="2"/>
  <c r="D105" i="2"/>
  <c r="D102" i="2" s="1"/>
  <c r="D104" i="2"/>
  <c r="D101" i="2"/>
  <c r="D99" i="2"/>
  <c r="E99" i="2" s="1"/>
  <c r="E98" i="2"/>
  <c r="E97" i="2"/>
  <c r="E96" i="2"/>
  <c r="D95" i="2"/>
  <c r="E95" i="2" s="1"/>
  <c r="H106" i="2"/>
  <c r="C62" i="12"/>
  <c r="H105" i="2"/>
  <c r="H108" i="2"/>
  <c r="I107" i="2"/>
  <c r="E107" i="2"/>
  <c r="H99" i="2"/>
  <c r="I99" i="2" s="1"/>
  <c r="H98" i="2"/>
  <c r="I98" i="2" s="1"/>
  <c r="I97" i="2"/>
  <c r="H95" i="2"/>
  <c r="I100" i="2"/>
  <c r="D118" i="2" l="1"/>
  <c r="K6" i="1"/>
  <c r="K7" i="1"/>
  <c r="K8" i="1"/>
  <c r="K9" i="1"/>
  <c r="K10" i="1"/>
  <c r="D102" i="12"/>
  <c r="D131" i="12" s="1"/>
  <c r="D129" i="12"/>
  <c r="B102" i="12"/>
  <c r="B131" i="12" s="1"/>
  <c r="B129" i="12"/>
  <c r="C102" i="12"/>
  <c r="C131" i="12" s="1"/>
  <c r="C129" i="12"/>
  <c r="C85" i="12"/>
  <c r="C104" i="12"/>
  <c r="B85" i="12"/>
  <c r="B104" i="12"/>
  <c r="D177" i="2"/>
  <c r="E177" i="2" s="1"/>
  <c r="Q16" i="1"/>
  <c r="Q63" i="1"/>
  <c r="Q66" i="1"/>
  <c r="O55" i="1"/>
  <c r="J55" i="1"/>
  <c r="K55" i="1" s="1"/>
  <c r="O56" i="1"/>
  <c r="J56" i="1"/>
  <c r="Q60" i="1"/>
  <c r="Q47" i="1"/>
  <c r="Q51" i="1"/>
  <c r="Q52" i="1"/>
  <c r="Q38" i="1"/>
  <c r="Q48" i="1"/>
  <c r="Q15" i="1"/>
  <c r="Q13" i="1"/>
  <c r="Q14" i="1"/>
  <c r="Q7" i="1"/>
  <c r="Q8" i="1"/>
  <c r="Q9" i="1"/>
  <c r="Q10" i="1"/>
  <c r="F15" i="12"/>
  <c r="F38" i="12" s="1"/>
  <c r="J5" i="1"/>
  <c r="Q6" i="1"/>
  <c r="Q26" i="1"/>
  <c r="Q25" i="1"/>
  <c r="F14" i="12"/>
  <c r="F37" i="12" s="1"/>
  <c r="G56" i="1"/>
  <c r="Q56" i="1" s="1"/>
  <c r="H122" i="2"/>
  <c r="G66" i="12"/>
  <c r="G89" i="12" s="1"/>
  <c r="H115" i="2"/>
  <c r="I115" i="2" s="1"/>
  <c r="I111" i="2"/>
  <c r="P64" i="1"/>
  <c r="G64" i="12"/>
  <c r="G87" i="12" s="1"/>
  <c r="P21" i="1"/>
  <c r="G17" i="12"/>
  <c r="H117" i="2"/>
  <c r="H114" i="2"/>
  <c r="I114" i="2" s="1"/>
  <c r="H118" i="2"/>
  <c r="H133" i="2"/>
  <c r="I133" i="2" s="1"/>
  <c r="P8" i="1"/>
  <c r="H110" i="2"/>
  <c r="I110" i="2" s="1"/>
  <c r="H135" i="2"/>
  <c r="I135" i="2" s="1"/>
  <c r="P9" i="1"/>
  <c r="C22" i="1"/>
  <c r="C12" i="1" s="1"/>
  <c r="C21" i="1"/>
  <c r="C11" i="1" s="1"/>
  <c r="G5" i="1"/>
  <c r="F64" i="12"/>
  <c r="F87" i="12" s="1"/>
  <c r="H132" i="2"/>
  <c r="I132" i="2" s="1"/>
  <c r="B63" i="12"/>
  <c r="B86" i="12" s="1"/>
  <c r="G63" i="12"/>
  <c r="G86" i="12" s="1"/>
  <c r="D106" i="2"/>
  <c r="D12" i="12"/>
  <c r="B12" i="12"/>
  <c r="D61" i="12"/>
  <c r="D84" i="12" s="1"/>
  <c r="K5" i="1" l="1"/>
  <c r="K56" i="1"/>
  <c r="C106" i="12"/>
  <c r="C135" i="12" s="1"/>
  <c r="C133" i="12"/>
  <c r="B106" i="12"/>
  <c r="B135" i="12" s="1"/>
  <c r="B133" i="12"/>
  <c r="F13" i="12"/>
  <c r="F63" i="12"/>
  <c r="F86" i="12" s="1"/>
  <c r="C6" i="4"/>
  <c r="M21" i="1"/>
  <c r="D84" i="2"/>
  <c r="E84" i="2" s="1"/>
  <c r="H101" i="2"/>
  <c r="O21" i="1"/>
  <c r="I96" i="2"/>
  <c r="Q55" i="1"/>
  <c r="E118" i="2"/>
  <c r="G14" i="12"/>
  <c r="E94" i="2"/>
  <c r="D91" i="2"/>
  <c r="E91" i="2" s="1"/>
  <c r="D87" i="2"/>
  <c r="E87" i="2" s="1"/>
  <c r="D86" i="2"/>
  <c r="E86" i="2" s="1"/>
  <c r="D81" i="2"/>
  <c r="E81" i="2" s="1"/>
  <c r="D80" i="2"/>
  <c r="E80" i="2" s="1"/>
  <c r="D79" i="2"/>
  <c r="E79" i="2" s="1"/>
  <c r="D78" i="2"/>
  <c r="E78" i="2" s="1"/>
  <c r="D77" i="2"/>
  <c r="E77" i="2" s="1"/>
  <c r="D76" i="2"/>
  <c r="C84" i="12"/>
  <c r="H87" i="2"/>
  <c r="H94" i="2"/>
  <c r="I90" i="2"/>
  <c r="I92" i="2"/>
  <c r="H80" i="2"/>
  <c r="I80" i="2" s="1"/>
  <c r="H79" i="2"/>
  <c r="I79" i="2" s="1"/>
  <c r="B61" i="12"/>
  <c r="B84" i="12" s="1"/>
  <c r="D73" i="2"/>
  <c r="D72" i="2"/>
  <c r="H75" i="2"/>
  <c r="H72" i="2"/>
  <c r="D71" i="2"/>
  <c r="D69" i="2" s="1"/>
  <c r="H71" i="2"/>
  <c r="H69" i="2" s="1"/>
  <c r="F36" i="12" l="1"/>
  <c r="F100" i="12"/>
  <c r="F12" i="12"/>
  <c r="F35" i="12" s="1"/>
  <c r="E90" i="2"/>
  <c r="D88" i="2"/>
  <c r="E88" i="2" s="1"/>
  <c r="H73" i="2"/>
  <c r="H77" i="2"/>
  <c r="I77" i="2" s="1"/>
  <c r="H78" i="2"/>
  <c r="I78" i="2" s="1"/>
  <c r="H81" i="2"/>
  <c r="I81" i="2" s="1"/>
  <c r="G84" i="12"/>
  <c r="F62" i="12"/>
  <c r="H91" i="2"/>
  <c r="H84" i="2"/>
  <c r="F61" i="12"/>
  <c r="F84" i="12" s="1"/>
  <c r="H76" i="2"/>
  <c r="F85" i="12" l="1"/>
  <c r="F104" i="12"/>
  <c r="F102" i="12"/>
  <c r="F131" i="12" s="1"/>
  <c r="F129" i="12"/>
  <c r="E72" i="2"/>
  <c r="E71" i="2"/>
  <c r="E69" i="2"/>
  <c r="D68" i="2"/>
  <c r="E68" i="2" s="1"/>
  <c r="D63" i="2"/>
  <c r="E63" i="2" s="1"/>
  <c r="D62" i="2"/>
  <c r="E62" i="2" s="1"/>
  <c r="E61" i="2"/>
  <c r="E60" i="2"/>
  <c r="D58" i="2"/>
  <c r="E58" i="2" s="1"/>
  <c r="D57" i="2"/>
  <c r="E57" i="2" s="1"/>
  <c r="E75" i="2"/>
  <c r="E74" i="2"/>
  <c r="E73" i="2"/>
  <c r="E70" i="2"/>
  <c r="E67" i="2"/>
  <c r="E66" i="2"/>
  <c r="E59" i="2"/>
  <c r="H68" i="2"/>
  <c r="I71" i="2"/>
  <c r="I72" i="2"/>
  <c r="C60" i="12"/>
  <c r="C83" i="12" s="1"/>
  <c r="G60" i="12"/>
  <c r="G83" i="12" s="1"/>
  <c r="F133" i="12" l="1"/>
  <c r="F106" i="12"/>
  <c r="F135" i="12" s="1"/>
  <c r="E64" i="2"/>
  <c r="H65" i="2"/>
  <c r="G11" i="12" l="1"/>
  <c r="D65" i="2"/>
  <c r="E65" i="2" s="1"/>
  <c r="I59" i="2"/>
  <c r="H62" i="2"/>
  <c r="I62" i="2" s="1"/>
  <c r="I61" i="2"/>
  <c r="H57" i="2"/>
  <c r="I57" i="2" s="1"/>
  <c r="F11" i="12" l="1"/>
  <c r="F34" i="12" s="1"/>
  <c r="H63" i="2"/>
  <c r="H60" i="2"/>
  <c r="I60" i="2" s="1"/>
  <c r="F60" i="12"/>
  <c r="F83" i="12" s="1"/>
  <c r="H58" i="2"/>
  <c r="I58" i="2" s="1"/>
  <c r="D10" i="12"/>
  <c r="C10" i="12"/>
  <c r="B10" i="12"/>
  <c r="D59" i="12"/>
  <c r="D82" i="12" s="1"/>
  <c r="B59" i="12"/>
  <c r="B82" i="12" s="1"/>
  <c r="D56" i="2"/>
  <c r="D53" i="2"/>
  <c r="D49" i="2"/>
  <c r="D48" i="2"/>
  <c r="E56" i="2" l="1"/>
  <c r="D54" i="2"/>
  <c r="I63" i="2"/>
  <c r="B83" i="12"/>
  <c r="H53" i="2" l="1"/>
  <c r="H56" i="2"/>
  <c r="H54" i="2"/>
  <c r="H48" i="2"/>
  <c r="I48" i="2" s="1"/>
  <c r="C59" i="12"/>
  <c r="C82" i="12" s="1"/>
  <c r="E54" i="2"/>
  <c r="E48" i="2"/>
  <c r="D58" i="12"/>
  <c r="D81" i="12" s="1"/>
  <c r="B58" i="12"/>
  <c r="B81" i="12" s="1"/>
  <c r="D9" i="12"/>
  <c r="C9" i="12"/>
  <c r="B9" i="12"/>
  <c r="D45" i="2"/>
  <c r="D43" i="2" s="1"/>
  <c r="H47" i="2"/>
  <c r="I47" i="2" s="1"/>
  <c r="H45" i="2"/>
  <c r="I45" i="2" s="1"/>
  <c r="D42" i="2"/>
  <c r="E42" i="2" s="1"/>
  <c r="D41" i="2"/>
  <c r="E41" i="2" s="1"/>
  <c r="E40" i="2"/>
  <c r="D39" i="2"/>
  <c r="E39" i="2" s="1"/>
  <c r="D38" i="2"/>
  <c r="E38" i="2" s="1"/>
  <c r="H42" i="2"/>
  <c r="I42" i="2" s="1"/>
  <c r="H41" i="2"/>
  <c r="I41" i="2" s="1"/>
  <c r="I40" i="2"/>
  <c r="H39" i="2"/>
  <c r="I39" i="2" s="1"/>
  <c r="H38" i="2"/>
  <c r="I38" i="2" s="1"/>
  <c r="G8" i="12"/>
  <c r="F8" i="12"/>
  <c r="F31" i="12" s="1"/>
  <c r="D8" i="12"/>
  <c r="C8" i="12"/>
  <c r="B8" i="12"/>
  <c r="F57" i="12"/>
  <c r="F80" i="12" s="1"/>
  <c r="D57" i="12"/>
  <c r="D80" i="12" s="1"/>
  <c r="B57" i="12"/>
  <c r="B80" i="12" s="1"/>
  <c r="D7" i="12"/>
  <c r="C7" i="12"/>
  <c r="B7" i="12"/>
  <c r="B56" i="12"/>
  <c r="B79" i="12" s="1"/>
  <c r="D56" i="12"/>
  <c r="D79" i="12" s="1"/>
  <c r="D31" i="2"/>
  <c r="D30" i="2" s="1"/>
  <c r="E30" i="2" s="1"/>
  <c r="D28" i="2"/>
  <c r="D25" i="2"/>
  <c r="E25" i="2" s="1"/>
  <c r="D24" i="2"/>
  <c r="C56" i="12"/>
  <c r="C79" i="12" s="1"/>
  <c r="I29" i="2"/>
  <c r="H31" i="2"/>
  <c r="H28" i="2"/>
  <c r="H27" i="2" s="1"/>
  <c r="H25" i="2"/>
  <c r="I25" i="2" s="1"/>
  <c r="H24" i="2"/>
  <c r="G56" i="12"/>
  <c r="G79" i="12" s="1"/>
  <c r="F56" i="12"/>
  <c r="F79" i="12" s="1"/>
  <c r="D55" i="12"/>
  <c r="D78" i="12" s="1"/>
  <c r="B55" i="12"/>
  <c r="B78" i="12" s="1"/>
  <c r="D6" i="12"/>
  <c r="C6" i="12"/>
  <c r="B6" i="12"/>
  <c r="E18" i="2"/>
  <c r="I18" i="2"/>
  <c r="D23" i="2"/>
  <c r="H23" i="2"/>
  <c r="H22" i="2" s="1"/>
  <c r="D20" i="2"/>
  <c r="H20" i="2"/>
  <c r="H19" i="2" s="1"/>
  <c r="E17" i="2"/>
  <c r="D16" i="2"/>
  <c r="E16" i="2" s="1"/>
  <c r="D15" i="2"/>
  <c r="I17" i="2"/>
  <c r="H16" i="2"/>
  <c r="I16" i="2" s="1"/>
  <c r="H15" i="2"/>
  <c r="C55" i="12"/>
  <c r="C78" i="12" s="1"/>
  <c r="G55" i="12"/>
  <c r="G78" i="12" s="1"/>
  <c r="F54" i="12"/>
  <c r="F77" i="12" s="1"/>
  <c r="F5" i="12"/>
  <c r="F28" i="12" s="1"/>
  <c r="D5" i="12"/>
  <c r="C5" i="12"/>
  <c r="D54" i="12"/>
  <c r="D77" i="12" s="1"/>
  <c r="D11" i="2"/>
  <c r="D10" i="2" s="1"/>
  <c r="D14" i="2"/>
  <c r="H14" i="2"/>
  <c r="C54" i="12"/>
  <c r="C77" i="12" s="1"/>
  <c r="G54" i="12"/>
  <c r="G77" i="12" s="1"/>
  <c r="H11" i="2"/>
  <c r="H10" i="2" s="1"/>
  <c r="H9" i="2"/>
  <c r="I9" i="2" s="1"/>
  <c r="I6" i="2"/>
  <c r="H5" i="2"/>
  <c r="I14" i="2" l="1"/>
  <c r="H13" i="2"/>
  <c r="D13" i="2"/>
  <c r="E13" i="2" s="1"/>
  <c r="I28" i="2"/>
  <c r="I27" i="2"/>
  <c r="I11" i="2"/>
  <c r="F7" i="12"/>
  <c r="F30" i="12" s="1"/>
  <c r="F10" i="12"/>
  <c r="F33" i="12" s="1"/>
  <c r="F9" i="12"/>
  <c r="F32" i="12" s="1"/>
  <c r="F58" i="12"/>
  <c r="F81" i="12" s="1"/>
  <c r="E28" i="2"/>
  <c r="F55" i="12"/>
  <c r="F78" i="12" s="1"/>
  <c r="F6" i="12"/>
  <c r="F29" i="12" s="1"/>
  <c r="D19" i="2"/>
  <c r="E19" i="2" s="1"/>
  <c r="D22" i="2"/>
  <c r="E22" i="2" s="1"/>
  <c r="E11" i="2"/>
  <c r="F59" i="12"/>
  <c r="F82" i="12" s="1"/>
  <c r="I54" i="2"/>
  <c r="H49" i="2"/>
  <c r="H43" i="2"/>
  <c r="H46" i="2"/>
  <c r="I46" i="2" s="1"/>
  <c r="G81" i="12"/>
  <c r="G57" i="12"/>
  <c r="G80" i="12" s="1"/>
  <c r="H30" i="2"/>
  <c r="I30" i="2" s="1"/>
  <c r="E20" i="2"/>
  <c r="I20" i="2"/>
  <c r="I22" i="2"/>
  <c r="I13" i="2"/>
  <c r="E14" i="2"/>
  <c r="E54" i="12"/>
  <c r="I247" i="2"/>
  <c r="D67" i="12"/>
  <c r="D90" i="12" s="1"/>
  <c r="D66" i="12"/>
  <c r="D89" i="12" s="1"/>
  <c r="D65" i="12"/>
  <c r="D88" i="12" s="1"/>
  <c r="D64" i="12"/>
  <c r="D87" i="12" s="1"/>
  <c r="D62" i="12"/>
  <c r="D60" i="12"/>
  <c r="D83" i="12" s="1"/>
  <c r="C58" i="12"/>
  <c r="C81" i="12" s="1"/>
  <c r="C57" i="12"/>
  <c r="C80" i="12" s="1"/>
  <c r="D85" i="12" l="1"/>
  <c r="D104" i="12"/>
  <c r="I10" i="2"/>
  <c r="E77" i="12"/>
  <c r="G59" i="12"/>
  <c r="G82" i="12" s="1"/>
  <c r="E6" i="2"/>
  <c r="I43" i="2"/>
  <c r="D106" i="12" l="1"/>
  <c r="D135" i="12" s="1"/>
  <c r="D133" i="12"/>
  <c r="G10" i="12"/>
  <c r="H51" i="2"/>
  <c r="D51" i="2"/>
  <c r="H234" i="2"/>
  <c r="I234" i="2" s="1"/>
  <c r="H66" i="12"/>
  <c r="H89" i="12" s="1"/>
  <c r="H62" i="12"/>
  <c r="D101" i="10"/>
  <c r="F95" i="10"/>
  <c r="F94" i="10" s="1"/>
  <c r="D95" i="10"/>
  <c r="D94" i="10" s="1"/>
  <c r="F93" i="10"/>
  <c r="H85" i="12" l="1"/>
  <c r="H104" i="12"/>
  <c r="H70" i="12"/>
  <c r="H93" i="12" s="1"/>
  <c r="F65" i="12"/>
  <c r="F88" i="12" s="1"/>
  <c r="H149" i="2"/>
  <c r="I149" i="2" s="1"/>
  <c r="H63" i="12"/>
  <c r="H86" i="12" s="1"/>
  <c r="G62" i="12"/>
  <c r="H102" i="2"/>
  <c r="H61" i="12"/>
  <c r="H84" i="12" s="1"/>
  <c r="H60" i="12"/>
  <c r="H83" i="12" s="1"/>
  <c r="H59" i="12"/>
  <c r="H82" i="12" s="1"/>
  <c r="H58" i="12"/>
  <c r="H81" i="12" s="1"/>
  <c r="H57" i="12"/>
  <c r="H80" i="12" s="1"/>
  <c r="H56" i="12"/>
  <c r="H79" i="12" s="1"/>
  <c r="I19" i="2"/>
  <c r="H65" i="12"/>
  <c r="H88" i="12" s="1"/>
  <c r="M128" i="10"/>
  <c r="L128" i="10"/>
  <c r="M119" i="10"/>
  <c r="M121" i="10" s="1"/>
  <c r="L119" i="10"/>
  <c r="L121" i="10" s="1"/>
  <c r="K119" i="10"/>
  <c r="K126" i="10"/>
  <c r="N126" i="10" s="1"/>
  <c r="M130" i="10" l="1"/>
  <c r="G85" i="12"/>
  <c r="G104" i="12"/>
  <c r="H133" i="12"/>
  <c r="H106" i="12"/>
  <c r="H135" i="12" s="1"/>
  <c r="L130" i="10"/>
  <c r="I54" i="12"/>
  <c r="H77" i="12"/>
  <c r="H69" i="12"/>
  <c r="H92" i="12" s="1"/>
  <c r="H68" i="12"/>
  <c r="H91" i="12" s="1"/>
  <c r="H78" i="12"/>
  <c r="K120" i="10"/>
  <c r="N120" i="10" s="1"/>
  <c r="K125" i="10"/>
  <c r="K127" i="10"/>
  <c r="N127" i="10" s="1"/>
  <c r="N119" i="10"/>
  <c r="G106" i="12" l="1"/>
  <c r="G135" i="12" s="1"/>
  <c r="G133" i="12"/>
  <c r="G16" i="12"/>
  <c r="D155" i="2"/>
  <c r="J54" i="12"/>
  <c r="J77" i="12" s="1"/>
  <c r="I77" i="12"/>
  <c r="N121" i="10"/>
  <c r="F73" i="1" s="1"/>
  <c r="F71" i="1" s="1"/>
  <c r="K121" i="10"/>
  <c r="K128" i="10"/>
  <c r="N125" i="10"/>
  <c r="K130" i="10"/>
  <c r="F87" i="1" l="1"/>
  <c r="H64" i="12"/>
  <c r="N130" i="10"/>
  <c r="H138" i="2"/>
  <c r="N128" i="10"/>
  <c r="N131" i="10"/>
  <c r="H87" i="12" l="1"/>
  <c r="G90" i="12"/>
  <c r="H67" i="12"/>
  <c r="N132" i="10"/>
  <c r="H90" i="12" l="1"/>
  <c r="G72" i="12"/>
  <c r="G95" i="12" s="1"/>
  <c r="F67" i="12"/>
  <c r="F90" i="12" s="1"/>
  <c r="F72" i="12"/>
  <c r="F95" i="12" s="1"/>
  <c r="H72" i="12"/>
  <c r="H71" i="12" l="1"/>
  <c r="H94" i="12" s="1"/>
  <c r="H95" i="12"/>
  <c r="F71" i="12"/>
  <c r="F94" i="12" s="1"/>
  <c r="I26" i="6" l="1"/>
  <c r="H26" i="6"/>
  <c r="F26" i="6"/>
  <c r="E26" i="6"/>
  <c r="D26" i="6"/>
  <c r="C26" i="6"/>
  <c r="B26" i="6"/>
  <c r="A26" i="6"/>
  <c r="J21" i="7"/>
  <c r="I21" i="7"/>
  <c r="G21" i="7"/>
  <c r="F21" i="7"/>
  <c r="E21" i="7"/>
  <c r="D21" i="7"/>
  <c r="C21" i="7"/>
  <c r="B21" i="7"/>
  <c r="A21" i="7"/>
  <c r="T57" i="11" l="1"/>
  <c r="R46" i="10"/>
  <c r="P78" i="10"/>
  <c r="P77" i="10"/>
  <c r="P76" i="10"/>
  <c r="P75" i="10"/>
  <c r="P74" i="10"/>
  <c r="P73" i="10"/>
  <c r="P72" i="10"/>
  <c r="P71" i="10"/>
  <c r="P70" i="10"/>
  <c r="R67" i="10"/>
  <c r="R66" i="10"/>
  <c r="R65" i="10"/>
  <c r="R64" i="10"/>
  <c r="R61" i="10"/>
  <c r="Q61" i="10"/>
  <c r="P61" i="10"/>
  <c r="R60" i="10"/>
  <c r="Q60" i="10"/>
  <c r="P60" i="10"/>
  <c r="R59" i="10"/>
  <c r="Q59" i="10"/>
  <c r="P59" i="10"/>
  <c r="R58" i="10"/>
  <c r="Q58" i="10"/>
  <c r="P58" i="10"/>
  <c r="R57" i="10"/>
  <c r="Q57" i="10"/>
  <c r="P57" i="10"/>
  <c r="Q56" i="10"/>
  <c r="P56" i="10"/>
  <c r="R55" i="10"/>
  <c r="Q55" i="10"/>
  <c r="P55" i="10"/>
  <c r="Q54" i="10"/>
  <c r="P54" i="10"/>
  <c r="R53" i="10"/>
  <c r="Q53" i="10"/>
  <c r="P53" i="10"/>
  <c r="Q31" i="10"/>
  <c r="Q27" i="10"/>
  <c r="Q26" i="10"/>
  <c r="Q25" i="10"/>
  <c r="Q24" i="10"/>
  <c r="R21" i="10"/>
  <c r="R20" i="10"/>
  <c r="R19" i="10"/>
  <c r="R18" i="10"/>
  <c r="R17" i="10"/>
  <c r="R16" i="10"/>
  <c r="R13" i="10"/>
  <c r="Q13" i="10"/>
  <c r="P13" i="10"/>
  <c r="R12" i="10"/>
  <c r="P12" i="10"/>
  <c r="R11" i="10"/>
  <c r="P11" i="10"/>
  <c r="R9" i="10"/>
  <c r="P9" i="10"/>
  <c r="R8" i="10"/>
  <c r="P8" i="10"/>
  <c r="R7" i="10"/>
  <c r="P7" i="10"/>
  <c r="R6" i="10"/>
  <c r="P6" i="10"/>
  <c r="R5" i="10"/>
  <c r="P5" i="10"/>
  <c r="R4" i="10"/>
  <c r="P4" i="10"/>
  <c r="R3" i="10"/>
  <c r="P3" i="10"/>
  <c r="P22" i="1"/>
  <c r="M22" i="1"/>
  <c r="O22" i="1" l="1"/>
  <c r="P80" i="1" l="1"/>
  <c r="O80" i="1"/>
  <c r="P79" i="1"/>
  <c r="O79" i="1"/>
  <c r="P78" i="1"/>
  <c r="O78" i="1"/>
  <c r="P77" i="1"/>
  <c r="O77" i="1"/>
  <c r="P76" i="1"/>
  <c r="O76" i="1"/>
  <c r="P75" i="1"/>
  <c r="O75" i="1"/>
  <c r="P74" i="1"/>
  <c r="O74" i="1"/>
  <c r="P72" i="1"/>
  <c r="O72" i="1"/>
  <c r="O59" i="1"/>
  <c r="M59" i="1"/>
  <c r="P24" i="1"/>
  <c r="O24" i="1"/>
  <c r="M24" i="1"/>
  <c r="M5" i="1"/>
  <c r="N59" i="1" l="1"/>
  <c r="Q7" i="10" l="1"/>
  <c r="K23" i="8" l="1"/>
  <c r="K20" i="8"/>
  <c r="K19" i="8"/>
  <c r="K18" i="8"/>
  <c r="K16" i="8"/>
  <c r="K12" i="8"/>
  <c r="K11" i="8"/>
  <c r="K10" i="8"/>
  <c r="K9" i="8"/>
  <c r="K8" i="8"/>
  <c r="K7" i="8"/>
  <c r="K6" i="8"/>
  <c r="K5" i="8"/>
  <c r="K4" i="8"/>
  <c r="E10" i="8" l="1"/>
  <c r="Q30" i="10" l="1"/>
  <c r="Q29" i="10"/>
  <c r="Q78" i="10" l="1"/>
  <c r="Q77" i="10"/>
  <c r="C76" i="10"/>
  <c r="Q76" i="10" s="1"/>
  <c r="Q75" i="10"/>
  <c r="C74" i="10"/>
  <c r="Q74" i="10" s="1"/>
  <c r="C73" i="10"/>
  <c r="Q73" i="10" s="1"/>
  <c r="C72" i="10"/>
  <c r="Q72" i="10" s="1"/>
  <c r="Q71" i="10"/>
  <c r="C70" i="10"/>
  <c r="Q70" i="10" s="1"/>
  <c r="Q9" i="10"/>
  <c r="Q11" i="10"/>
  <c r="Q8" i="10"/>
  <c r="Q12" i="10"/>
  <c r="Q6" i="10"/>
  <c r="Q5" i="10"/>
  <c r="Q3" i="10"/>
  <c r="Q4" i="10"/>
  <c r="H29" i="12" l="1"/>
  <c r="E261" i="2" l="1"/>
  <c r="E258" i="2"/>
  <c r="E256" i="2"/>
  <c r="E149" i="2" l="1"/>
  <c r="E148" i="2"/>
  <c r="E150" i="2"/>
  <c r="I164" i="2"/>
  <c r="E164" i="2"/>
  <c r="E154" i="2"/>
  <c r="E163" i="2"/>
  <c r="E160" i="2"/>
  <c r="E156" i="2"/>
  <c r="E153" i="2"/>
  <c r="E147" i="2" l="1"/>
  <c r="G68" i="5" l="1"/>
  <c r="G172" i="5" s="1"/>
  <c r="E108" i="2" l="1"/>
  <c r="E103" i="2"/>
  <c r="E100" i="2"/>
  <c r="E101" i="2"/>
  <c r="I208" i="2" l="1"/>
  <c r="E208" i="2"/>
  <c r="E218" i="2" l="1"/>
  <c r="E216" i="2"/>
  <c r="E215" i="2"/>
  <c r="E214" i="2"/>
  <c r="E213" i="2"/>
  <c r="E212" i="2"/>
  <c r="E211" i="2"/>
  <c r="E210" i="2"/>
  <c r="E207" i="2"/>
  <c r="E206" i="2"/>
  <c r="E228" i="2" l="1"/>
  <c r="E226" i="2"/>
  <c r="E225" i="2"/>
  <c r="G46" i="5" l="1"/>
  <c r="G150" i="5" s="1"/>
  <c r="O5" i="1" l="1"/>
  <c r="G90" i="5" l="1"/>
  <c r="G194" i="5" s="1"/>
  <c r="E145" i="2" l="1"/>
  <c r="E140" i="2"/>
  <c r="E139" i="2"/>
  <c r="E137" i="2"/>
  <c r="E136" i="2"/>
  <c r="G89" i="5" l="1"/>
  <c r="G193" i="5" s="1"/>
  <c r="F119" i="10"/>
  <c r="E119" i="10"/>
  <c r="D119" i="10"/>
  <c r="D108" i="10"/>
  <c r="F108" i="10"/>
  <c r="F130" i="10" s="1"/>
  <c r="E108" i="10"/>
  <c r="D93" i="10"/>
  <c r="D91" i="10"/>
  <c r="D90" i="10"/>
  <c r="D89" i="10"/>
  <c r="D88" i="10"/>
  <c r="R56" i="10"/>
  <c r="R54" i="10"/>
  <c r="E130" i="10" l="1"/>
  <c r="E121" i="10"/>
  <c r="F121" i="10"/>
  <c r="G45" i="5"/>
  <c r="G149" i="5" s="1"/>
  <c r="I5" i="12" l="1"/>
  <c r="I28" i="12" s="1"/>
  <c r="H28" i="12"/>
  <c r="E95" i="12"/>
  <c r="D44" i="12" l="1"/>
  <c r="C44" i="12"/>
  <c r="C43" i="12"/>
  <c r="D42" i="12"/>
  <c r="C42" i="12"/>
  <c r="D41" i="12"/>
  <c r="C41" i="12"/>
  <c r="C40" i="12"/>
  <c r="C39" i="12"/>
  <c r="D38" i="12"/>
  <c r="C38" i="12"/>
  <c r="D37" i="12"/>
  <c r="D36" i="12"/>
  <c r="C36" i="12"/>
  <c r="C35" i="12"/>
  <c r="D34" i="12"/>
  <c r="C34" i="12"/>
  <c r="D33" i="12"/>
  <c r="D32" i="12"/>
  <c r="C32" i="12"/>
  <c r="C31" i="12"/>
  <c r="D29" i="12"/>
  <c r="C29" i="12"/>
  <c r="D28" i="12"/>
  <c r="C28" i="12"/>
  <c r="D46" i="12"/>
  <c r="S6" i="11"/>
  <c r="C14" i="11"/>
  <c r="E14" i="11" s="1"/>
  <c r="J14" i="11" s="1"/>
  <c r="C13" i="11"/>
  <c r="H13" i="11" s="1"/>
  <c r="C12" i="11"/>
  <c r="H12" i="11" s="1"/>
  <c r="C11" i="11"/>
  <c r="H11" i="11" s="1"/>
  <c r="C10" i="11"/>
  <c r="C6" i="11"/>
  <c r="H6" i="11" s="1"/>
  <c r="T58" i="11"/>
  <c r="I57" i="11"/>
  <c r="T56" i="11"/>
  <c r="I56" i="11"/>
  <c r="T55" i="11"/>
  <c r="I55" i="11"/>
  <c r="T54" i="11"/>
  <c r="C58" i="11"/>
  <c r="D35" i="11"/>
  <c r="T34" i="11"/>
  <c r="I34" i="11"/>
  <c r="T33" i="11"/>
  <c r="I33" i="11"/>
  <c r="I32" i="11"/>
  <c r="T31" i="11"/>
  <c r="I31" i="11"/>
  <c r="T30" i="11"/>
  <c r="I30" i="11"/>
  <c r="T29" i="11"/>
  <c r="I29" i="11"/>
  <c r="T28" i="11"/>
  <c r="I28" i="11"/>
  <c r="T32" i="11"/>
  <c r="I27" i="11"/>
  <c r="T26" i="11"/>
  <c r="I26" i="11"/>
  <c r="T20" i="11"/>
  <c r="U20" i="11"/>
  <c r="I20" i="11"/>
  <c r="E20" i="11"/>
  <c r="J20" i="11" s="1"/>
  <c r="U19" i="11"/>
  <c r="I19" i="11"/>
  <c r="E19" i="11"/>
  <c r="J19" i="11" s="1"/>
  <c r="T18" i="11"/>
  <c r="I18" i="11"/>
  <c r="E18" i="11"/>
  <c r="J18" i="11" s="1"/>
  <c r="T17" i="11"/>
  <c r="U17" i="11"/>
  <c r="I17" i="11"/>
  <c r="E17" i="11"/>
  <c r="J17" i="11" s="1"/>
  <c r="T9" i="11"/>
  <c r="I9" i="11"/>
  <c r="T8" i="11"/>
  <c r="I8" i="11"/>
  <c r="T5" i="11"/>
  <c r="I5" i="11"/>
  <c r="T4" i="11"/>
  <c r="I4" i="11"/>
  <c r="F128" i="10"/>
  <c r="E128" i="10"/>
  <c r="F112" i="10"/>
  <c r="E112" i="10"/>
  <c r="G108" i="10"/>
  <c r="F104" i="10"/>
  <c r="E104" i="10"/>
  <c r="G101" i="10"/>
  <c r="G99" i="10"/>
  <c r="G98" i="10"/>
  <c r="G97" i="10"/>
  <c r="G96" i="10"/>
  <c r="G93" i="10"/>
  <c r="G91" i="10"/>
  <c r="G90" i="10"/>
  <c r="G89" i="10"/>
  <c r="G88" i="10"/>
  <c r="G87" i="10"/>
  <c r="G86" i="10"/>
  <c r="G85" i="10"/>
  <c r="C79" i="10"/>
  <c r="B79" i="10"/>
  <c r="P79" i="10" s="1"/>
  <c r="R76" i="10"/>
  <c r="R73" i="10"/>
  <c r="R72" i="10"/>
  <c r="D63" i="10"/>
  <c r="R63" i="10" s="1"/>
  <c r="D62" i="10"/>
  <c r="R62" i="10" s="1"/>
  <c r="C62" i="10"/>
  <c r="B62" i="10"/>
  <c r="F61" i="10"/>
  <c r="S61" i="10" s="1"/>
  <c r="E61" i="10"/>
  <c r="F60" i="10"/>
  <c r="S60" i="10" s="1"/>
  <c r="E60" i="10"/>
  <c r="F59" i="10"/>
  <c r="S59" i="10" s="1"/>
  <c r="E59" i="10"/>
  <c r="F58" i="10"/>
  <c r="S58" i="10" s="1"/>
  <c r="E58" i="10"/>
  <c r="F57" i="10"/>
  <c r="S57" i="10" s="1"/>
  <c r="E57" i="10"/>
  <c r="F56" i="10"/>
  <c r="S56" i="10" s="1"/>
  <c r="E56" i="10"/>
  <c r="F55" i="10"/>
  <c r="S55" i="10" s="1"/>
  <c r="E55" i="10"/>
  <c r="F54" i="10"/>
  <c r="S54" i="10" s="1"/>
  <c r="E54" i="10"/>
  <c r="F53" i="10"/>
  <c r="S53" i="10" s="1"/>
  <c r="E53" i="10"/>
  <c r="D44" i="10"/>
  <c r="C44" i="10"/>
  <c r="B44" i="10"/>
  <c r="P44" i="10" s="1"/>
  <c r="D43" i="10"/>
  <c r="R43" i="10" s="1"/>
  <c r="C43" i="10"/>
  <c r="Q43" i="10" s="1"/>
  <c r="B43" i="10"/>
  <c r="P43" i="10" s="1"/>
  <c r="D42" i="10"/>
  <c r="R42" i="10" s="1"/>
  <c r="C42" i="10"/>
  <c r="Q42" i="10" s="1"/>
  <c r="B42" i="10"/>
  <c r="P42" i="10" s="1"/>
  <c r="D40" i="10"/>
  <c r="R40" i="10" s="1"/>
  <c r="C40" i="10"/>
  <c r="Q40" i="10" s="1"/>
  <c r="B40" i="10"/>
  <c r="P40" i="10" s="1"/>
  <c r="D39" i="10"/>
  <c r="R39" i="10" s="1"/>
  <c r="C39" i="10"/>
  <c r="Q39" i="10" s="1"/>
  <c r="B39" i="10"/>
  <c r="P39" i="10" s="1"/>
  <c r="D38" i="10"/>
  <c r="R38" i="10" s="1"/>
  <c r="C38" i="10"/>
  <c r="Q38" i="10" s="1"/>
  <c r="B38" i="10"/>
  <c r="P38" i="10" s="1"/>
  <c r="D37" i="10"/>
  <c r="R37" i="10" s="1"/>
  <c r="C37" i="10"/>
  <c r="Q37" i="10" s="1"/>
  <c r="B37" i="10"/>
  <c r="P37" i="10" s="1"/>
  <c r="D36" i="10"/>
  <c r="R36" i="10" s="1"/>
  <c r="C36" i="10"/>
  <c r="Q36" i="10" s="1"/>
  <c r="B36" i="10"/>
  <c r="P36" i="10" s="1"/>
  <c r="D35" i="10"/>
  <c r="R35" i="10" s="1"/>
  <c r="C35" i="10"/>
  <c r="B35" i="10"/>
  <c r="P35" i="10" s="1"/>
  <c r="D34" i="10"/>
  <c r="C34" i="10"/>
  <c r="Q34" i="10" s="1"/>
  <c r="B34" i="10"/>
  <c r="P34" i="10" s="1"/>
  <c r="C23" i="10"/>
  <c r="D15" i="10"/>
  <c r="R15" i="10" s="1"/>
  <c r="D14" i="10"/>
  <c r="R14" i="10" s="1"/>
  <c r="C14" i="10"/>
  <c r="B14" i="10"/>
  <c r="F13" i="10"/>
  <c r="S13" i="10" s="1"/>
  <c r="E13" i="10"/>
  <c r="F12" i="10"/>
  <c r="S12" i="10" s="1"/>
  <c r="E12" i="10"/>
  <c r="F11" i="10"/>
  <c r="S11" i="10" s="1"/>
  <c r="E11" i="10"/>
  <c r="F9" i="10"/>
  <c r="S9" i="10" s="1"/>
  <c r="E9" i="10"/>
  <c r="F8" i="10"/>
  <c r="S8" i="10" s="1"/>
  <c r="E8" i="10"/>
  <c r="F7" i="10"/>
  <c r="S7" i="10" s="1"/>
  <c r="E7" i="10"/>
  <c r="F6" i="10"/>
  <c r="S6" i="10" s="1"/>
  <c r="E6" i="10"/>
  <c r="F5" i="10"/>
  <c r="S5" i="10" s="1"/>
  <c r="E5" i="10"/>
  <c r="F4" i="10"/>
  <c r="S4" i="10" s="1"/>
  <c r="E4" i="10"/>
  <c r="F3" i="10"/>
  <c r="S3" i="10" s="1"/>
  <c r="E3" i="10"/>
  <c r="C5" i="9"/>
  <c r="C6" i="9"/>
  <c r="Q23" i="10" l="1"/>
  <c r="C46" i="10"/>
  <c r="I35" i="11"/>
  <c r="C23" i="12"/>
  <c r="C46" i="12" s="1"/>
  <c r="Q79" i="10"/>
  <c r="Q14" i="10"/>
  <c r="D1" i="10"/>
  <c r="R44" i="10"/>
  <c r="D100" i="10"/>
  <c r="G100" i="10" s="1"/>
  <c r="E13" i="12"/>
  <c r="E21" i="12"/>
  <c r="E44" i="12" s="1"/>
  <c r="E17" i="12"/>
  <c r="E40" i="12" s="1"/>
  <c r="E9" i="12"/>
  <c r="E32" i="12" s="1"/>
  <c r="E5" i="12"/>
  <c r="E28" i="12" s="1"/>
  <c r="B43" i="12"/>
  <c r="E20" i="12"/>
  <c r="E43" i="12" s="1"/>
  <c r="B38" i="12"/>
  <c r="E15" i="12"/>
  <c r="E38" i="12" s="1"/>
  <c r="B37" i="12"/>
  <c r="E14" i="12"/>
  <c r="E37" i="12" s="1"/>
  <c r="B35" i="12"/>
  <c r="E12" i="12"/>
  <c r="E35" i="12" s="1"/>
  <c r="B33" i="12"/>
  <c r="E10" i="12"/>
  <c r="E33" i="12" s="1"/>
  <c r="E18" i="12"/>
  <c r="E41" i="12" s="1"/>
  <c r="B31" i="12"/>
  <c r="E8" i="12"/>
  <c r="E31" i="12" s="1"/>
  <c r="B39" i="12"/>
  <c r="E16" i="12"/>
  <c r="E39" i="12" s="1"/>
  <c r="B29" i="12"/>
  <c r="E6" i="12"/>
  <c r="E29" i="12" s="1"/>
  <c r="B30" i="12"/>
  <c r="B34" i="12"/>
  <c r="E11" i="12"/>
  <c r="E34" i="12" s="1"/>
  <c r="B42" i="12"/>
  <c r="E19" i="12"/>
  <c r="E42" i="12" s="1"/>
  <c r="R78" i="10"/>
  <c r="D103" i="10"/>
  <c r="D102" i="10" s="1"/>
  <c r="B32" i="10"/>
  <c r="P32" i="10" s="1"/>
  <c r="P14" i="10"/>
  <c r="D83" i="10"/>
  <c r="G83" i="10" s="1"/>
  <c r="R34" i="10"/>
  <c r="D126" i="10"/>
  <c r="G126" i="10" s="1"/>
  <c r="R74" i="10"/>
  <c r="D125" i="10"/>
  <c r="R70" i="10"/>
  <c r="D120" i="10"/>
  <c r="D121" i="10" s="1"/>
  <c r="R77" i="10"/>
  <c r="B68" i="10"/>
  <c r="P68" i="10" s="1"/>
  <c r="P62" i="10"/>
  <c r="D110" i="10"/>
  <c r="R71" i="10"/>
  <c r="F35" i="10"/>
  <c r="S35" i="10" s="1"/>
  <c r="Q35" i="10"/>
  <c r="F44" i="10"/>
  <c r="S44" i="10" s="1"/>
  <c r="Q44" i="10"/>
  <c r="C68" i="10"/>
  <c r="Q68" i="10" s="1"/>
  <c r="Q62" i="10"/>
  <c r="F75" i="10"/>
  <c r="S75" i="10" s="1"/>
  <c r="R75" i="10"/>
  <c r="C22" i="10"/>
  <c r="F37" i="10"/>
  <c r="S37" i="10" s="1"/>
  <c r="E43" i="10"/>
  <c r="D127" i="10"/>
  <c r="G127" i="10" s="1"/>
  <c r="E72" i="10"/>
  <c r="F73" i="10"/>
  <c r="S73" i="10" s="1"/>
  <c r="D111" i="10"/>
  <c r="G111" i="10" s="1"/>
  <c r="C9" i="11"/>
  <c r="H9" i="11" s="1"/>
  <c r="E74" i="10"/>
  <c r="E42" i="10"/>
  <c r="E35" i="10"/>
  <c r="F40" i="10"/>
  <c r="S40" i="10" s="1"/>
  <c r="E40" i="10"/>
  <c r="E77" i="10"/>
  <c r="F43" i="10"/>
  <c r="S43" i="10" s="1"/>
  <c r="E44" i="10"/>
  <c r="E37" i="10"/>
  <c r="F42" i="10"/>
  <c r="S42" i="10" s="1"/>
  <c r="C45" i="10"/>
  <c r="Q45" i="10" s="1"/>
  <c r="F39" i="10"/>
  <c r="S39" i="10" s="1"/>
  <c r="F71" i="10"/>
  <c r="S71" i="10" s="1"/>
  <c r="F76" i="10"/>
  <c r="S76" i="10" s="1"/>
  <c r="F78" i="10"/>
  <c r="S78" i="10" s="1"/>
  <c r="F70" i="10"/>
  <c r="S70" i="10" s="1"/>
  <c r="D84" i="10"/>
  <c r="F14" i="10"/>
  <c r="S14" i="10" s="1"/>
  <c r="E78" i="10"/>
  <c r="B45" i="10"/>
  <c r="P45" i="10" s="1"/>
  <c r="F34" i="10"/>
  <c r="S34" i="10" s="1"/>
  <c r="E71" i="10"/>
  <c r="D68" i="10"/>
  <c r="F62" i="10"/>
  <c r="S62" i="10" s="1"/>
  <c r="F72" i="10"/>
  <c r="S72" i="10" s="1"/>
  <c r="E39" i="10"/>
  <c r="E38" i="10"/>
  <c r="D22" i="10"/>
  <c r="R22" i="10" s="1"/>
  <c r="F38" i="10"/>
  <c r="S38" i="10" s="1"/>
  <c r="D45" i="10"/>
  <c r="D40" i="12"/>
  <c r="B77" i="12"/>
  <c r="B41" i="12"/>
  <c r="C33" i="12"/>
  <c r="C37" i="12"/>
  <c r="B28" i="12"/>
  <c r="D31" i="12"/>
  <c r="B32" i="12"/>
  <c r="D35" i="12"/>
  <c r="B36" i="12"/>
  <c r="D39" i="12"/>
  <c r="B40" i="12"/>
  <c r="D43" i="12"/>
  <c r="B44" i="12"/>
  <c r="I58" i="11"/>
  <c r="H14" i="11"/>
  <c r="U18" i="11"/>
  <c r="T19" i="11"/>
  <c r="H10" i="11"/>
  <c r="D21" i="11"/>
  <c r="B23" i="12" s="1"/>
  <c r="B22" i="12" s="1"/>
  <c r="T27" i="11"/>
  <c r="I54" i="11"/>
  <c r="D79" i="10"/>
  <c r="E36" i="10"/>
  <c r="E70" i="10"/>
  <c r="B22" i="10"/>
  <c r="P22" i="10" s="1"/>
  <c r="F74" i="10"/>
  <c r="S74" i="10" s="1"/>
  <c r="E76" i="10"/>
  <c r="F36" i="10"/>
  <c r="S36" i="10" s="1"/>
  <c r="F77" i="10"/>
  <c r="S77" i="10" s="1"/>
  <c r="E73" i="10"/>
  <c r="E75" i="10"/>
  <c r="E14" i="10"/>
  <c r="E34" i="10"/>
  <c r="E62" i="10"/>
  <c r="C4" i="9"/>
  <c r="E36" i="12" l="1"/>
  <c r="E100" i="12"/>
  <c r="E23" i="12"/>
  <c r="E46" i="12" s="1"/>
  <c r="B46" i="12"/>
  <c r="D130" i="10"/>
  <c r="G120" i="10"/>
  <c r="G103" i="10"/>
  <c r="R79" i="10"/>
  <c r="R80" i="10"/>
  <c r="B45" i="12"/>
  <c r="R45" i="10"/>
  <c r="C32" i="10"/>
  <c r="Q32" i="10" s="1"/>
  <c r="Q22" i="10"/>
  <c r="E68" i="10"/>
  <c r="R68" i="10"/>
  <c r="F22" i="10"/>
  <c r="S22" i="10" s="1"/>
  <c r="E9" i="11"/>
  <c r="J9" i="11" s="1"/>
  <c r="G102" i="10"/>
  <c r="F68" i="10"/>
  <c r="G109" i="10"/>
  <c r="D32" i="10"/>
  <c r="G84" i="10"/>
  <c r="E22" i="10"/>
  <c r="G119" i="10"/>
  <c r="G110" i="10"/>
  <c r="D112" i="10"/>
  <c r="G94" i="10"/>
  <c r="G95" i="10"/>
  <c r="F45" i="10"/>
  <c r="E45" i="10"/>
  <c r="T21" i="11"/>
  <c r="I21" i="11"/>
  <c r="D36" i="11"/>
  <c r="D38" i="11" s="1"/>
  <c r="T35" i="11"/>
  <c r="G131" i="10"/>
  <c r="E79" i="10"/>
  <c r="F79" i="10"/>
  <c r="S79" i="10" s="1"/>
  <c r="B29" i="8"/>
  <c r="B24" i="8"/>
  <c r="B26" i="8" s="1"/>
  <c r="E23" i="8"/>
  <c r="K21" i="8"/>
  <c r="E21" i="8"/>
  <c r="E20" i="8"/>
  <c r="E19" i="8"/>
  <c r="K17" i="8"/>
  <c r="E17" i="8"/>
  <c r="E16" i="8"/>
  <c r="K15" i="8"/>
  <c r="E15" i="8"/>
  <c r="K14" i="8"/>
  <c r="E14" i="8"/>
  <c r="E13" i="8"/>
  <c r="E12" i="8"/>
  <c r="E11" i="8"/>
  <c r="E9" i="8"/>
  <c r="E8" i="8"/>
  <c r="E7" i="8"/>
  <c r="E6" i="8"/>
  <c r="E5" i="8"/>
  <c r="E4" i="8"/>
  <c r="K3" i="8"/>
  <c r="E3" i="8"/>
  <c r="J17" i="7"/>
  <c r="J34" i="7" s="1"/>
  <c r="I17" i="7"/>
  <c r="I34" i="7" s="1"/>
  <c r="G17" i="7"/>
  <c r="G34" i="7" s="1"/>
  <c r="F17" i="7"/>
  <c r="F34" i="7" s="1"/>
  <c r="E17" i="7"/>
  <c r="E34" i="7" s="1"/>
  <c r="N9" i="7"/>
  <c r="H11" i="7"/>
  <c r="H28" i="7" s="1"/>
  <c r="H7" i="7"/>
  <c r="H24" i="7" s="1"/>
  <c r="H4" i="7"/>
  <c r="H21" i="7" s="1"/>
  <c r="J2" i="7"/>
  <c r="I2" i="7"/>
  <c r="G2" i="7"/>
  <c r="F2" i="7"/>
  <c r="N14" i="7" s="1"/>
  <c r="E2" i="7"/>
  <c r="G11" i="6"/>
  <c r="G33" i="6" s="1"/>
  <c r="G10" i="6"/>
  <c r="G32" i="6" s="1"/>
  <c r="G8" i="6"/>
  <c r="G30" i="6" s="1"/>
  <c r="G7" i="6"/>
  <c r="G29" i="6" s="1"/>
  <c r="G6" i="6"/>
  <c r="G28" i="6" s="1"/>
  <c r="G5" i="6"/>
  <c r="G27" i="6" s="1"/>
  <c r="G4" i="6"/>
  <c r="G104" i="5"/>
  <c r="G208" i="5" s="1"/>
  <c r="G103" i="5"/>
  <c r="G207" i="5" s="1"/>
  <c r="G100" i="5"/>
  <c r="G204" i="5" s="1"/>
  <c r="G98" i="5"/>
  <c r="G202" i="5" s="1"/>
  <c r="G97" i="5"/>
  <c r="G201" i="5" s="1"/>
  <c r="G96" i="5"/>
  <c r="G200" i="5" s="1"/>
  <c r="G93" i="5"/>
  <c r="G197" i="5" s="1"/>
  <c r="G88" i="5"/>
  <c r="G192" i="5" s="1"/>
  <c r="G87" i="5"/>
  <c r="G191" i="5" s="1"/>
  <c r="G79" i="5"/>
  <c r="G183" i="5" s="1"/>
  <c r="G78" i="5"/>
  <c r="G182" i="5" s="1"/>
  <c r="G77" i="5"/>
  <c r="G181" i="5" s="1"/>
  <c r="G76" i="5"/>
  <c r="G180" i="5" s="1"/>
  <c r="G74" i="5"/>
  <c r="G178" i="5" s="1"/>
  <c r="G73" i="5"/>
  <c r="G177" i="5" s="1"/>
  <c r="G72" i="5"/>
  <c r="G176" i="5" s="1"/>
  <c r="G71" i="5"/>
  <c r="G175" i="5" s="1"/>
  <c r="G70" i="5"/>
  <c r="G174" i="5" s="1"/>
  <c r="G69" i="5"/>
  <c r="G173" i="5" s="1"/>
  <c r="G66" i="5"/>
  <c r="G170" i="5" s="1"/>
  <c r="G61" i="5"/>
  <c r="G165" i="5" s="1"/>
  <c r="G57" i="5"/>
  <c r="G161" i="5" s="1"/>
  <c r="G54" i="5"/>
  <c r="G158" i="5" s="1"/>
  <c r="G53" i="5"/>
  <c r="G157" i="5" s="1"/>
  <c r="G47" i="5"/>
  <c r="G151" i="5" s="1"/>
  <c r="G43" i="5"/>
  <c r="G147" i="5" s="1"/>
  <c r="G42" i="5"/>
  <c r="G146" i="5" s="1"/>
  <c r="G41" i="5"/>
  <c r="G145" i="5" s="1"/>
  <c r="G39" i="5"/>
  <c r="G143" i="5" s="1"/>
  <c r="G38" i="5"/>
  <c r="G142" i="5" s="1"/>
  <c r="G31" i="5"/>
  <c r="G135" i="5" s="1"/>
  <c r="G29" i="5"/>
  <c r="G133" i="5" s="1"/>
  <c r="G25" i="5"/>
  <c r="G129" i="5" s="1"/>
  <c r="G23" i="5"/>
  <c r="G127" i="5" s="1"/>
  <c r="G10" i="5"/>
  <c r="G114" i="5" s="1"/>
  <c r="G7" i="5"/>
  <c r="G111" i="5" s="1"/>
  <c r="G6" i="5"/>
  <c r="G110" i="5" s="1"/>
  <c r="B6" i="4"/>
  <c r="B28" i="4" s="1"/>
  <c r="AF22" i="3"/>
  <c r="G22" i="3"/>
  <c r="E22" i="3"/>
  <c r="C22" i="3"/>
  <c r="X22" i="3" s="1"/>
  <c r="B22" i="3"/>
  <c r="W22" i="3" s="1"/>
  <c r="AF21" i="3"/>
  <c r="AD21" i="3"/>
  <c r="Z21" i="3"/>
  <c r="X21" i="3"/>
  <c r="W21" i="3"/>
  <c r="AG21" i="3"/>
  <c r="AA21" i="3"/>
  <c r="AF20" i="3"/>
  <c r="AE20" i="3"/>
  <c r="Z20" i="3"/>
  <c r="X20" i="3"/>
  <c r="W20" i="3"/>
  <c r="F20" i="3"/>
  <c r="AA20" i="3" s="1"/>
  <c r="AF19" i="3"/>
  <c r="AE19" i="3"/>
  <c r="AD19" i="3"/>
  <c r="Z19" i="3"/>
  <c r="X19" i="3"/>
  <c r="W19" i="3"/>
  <c r="AG19" i="3"/>
  <c r="F19" i="3"/>
  <c r="AA19" i="3" s="1"/>
  <c r="AF18" i="3"/>
  <c r="AE18" i="3"/>
  <c r="AD18" i="3"/>
  <c r="Z18" i="3"/>
  <c r="X18" i="3"/>
  <c r="W18" i="3"/>
  <c r="AG18" i="3"/>
  <c r="F18" i="3"/>
  <c r="AA18" i="3" s="1"/>
  <c r="AF17" i="3"/>
  <c r="AE17" i="3"/>
  <c r="AD17" i="3"/>
  <c r="Z17" i="3"/>
  <c r="X17" i="3"/>
  <c r="W17" i="3"/>
  <c r="AG17" i="3"/>
  <c r="F17" i="3"/>
  <c r="AA17" i="3" s="1"/>
  <c r="AF16" i="3"/>
  <c r="AE16" i="3"/>
  <c r="Z16" i="3"/>
  <c r="X16" i="3"/>
  <c r="W16" i="3"/>
  <c r="AG16" i="3"/>
  <c r="AD16" i="3"/>
  <c r="AA16" i="3"/>
  <c r="AF15" i="3"/>
  <c r="AE15" i="3"/>
  <c r="AD15" i="3"/>
  <c r="Z15" i="3"/>
  <c r="X15" i="3"/>
  <c r="W15" i="3"/>
  <c r="AG15" i="3"/>
  <c r="F15" i="3"/>
  <c r="AA15" i="3" s="1"/>
  <c r="AF14" i="3"/>
  <c r="AD14" i="3"/>
  <c r="Z14" i="3"/>
  <c r="X14" i="3"/>
  <c r="W14" i="3"/>
  <c r="AG14" i="3"/>
  <c r="F14" i="3"/>
  <c r="AA14" i="3" s="1"/>
  <c r="AF13" i="3"/>
  <c r="AE13" i="3"/>
  <c r="Z13" i="3"/>
  <c r="X13" i="3"/>
  <c r="W13" i="3"/>
  <c r="AD13" i="3"/>
  <c r="F13" i="3"/>
  <c r="AA13" i="3" s="1"/>
  <c r="AF12" i="3"/>
  <c r="AE12" i="3"/>
  <c r="AD12" i="3"/>
  <c r="Z12" i="3"/>
  <c r="X12" i="3"/>
  <c r="W12" i="3"/>
  <c r="AG12" i="3"/>
  <c r="F12" i="3"/>
  <c r="AA12" i="3" s="1"/>
  <c r="AF11" i="3"/>
  <c r="AE11" i="3"/>
  <c r="AD11" i="3"/>
  <c r="Z11" i="3"/>
  <c r="X11" i="3"/>
  <c r="W11" i="3"/>
  <c r="AG11" i="3"/>
  <c r="F11" i="3"/>
  <c r="AA11" i="3" s="1"/>
  <c r="AF10" i="3"/>
  <c r="AD10" i="3"/>
  <c r="Z10" i="3"/>
  <c r="X10" i="3"/>
  <c r="W10" i="3"/>
  <c r="AG10" i="3"/>
  <c r="AE10" i="3"/>
  <c r="AA10" i="3"/>
  <c r="AF9" i="3"/>
  <c r="AE9" i="3"/>
  <c r="AD9" i="3"/>
  <c r="Z9" i="3"/>
  <c r="X9" i="3"/>
  <c r="W9" i="3"/>
  <c r="AG9" i="3"/>
  <c r="F9" i="3"/>
  <c r="AA9" i="3" s="1"/>
  <c r="AF8" i="3"/>
  <c r="AE8" i="3"/>
  <c r="AD8" i="3"/>
  <c r="Z8" i="3"/>
  <c r="X8" i="3"/>
  <c r="W8" i="3"/>
  <c r="AG8" i="3"/>
  <c r="F8" i="3"/>
  <c r="AA8" i="3" s="1"/>
  <c r="AF7" i="3"/>
  <c r="AE7" i="3"/>
  <c r="AD7" i="3"/>
  <c r="Z7" i="3"/>
  <c r="X7" i="3"/>
  <c r="W7" i="3"/>
  <c r="AG7" i="3"/>
  <c r="F7" i="3"/>
  <c r="AA7" i="3" s="1"/>
  <c r="AF6" i="3"/>
  <c r="AE6" i="3"/>
  <c r="Z6" i="3"/>
  <c r="X6" i="3"/>
  <c r="W6" i="3"/>
  <c r="AD6" i="3"/>
  <c r="F6" i="3"/>
  <c r="AA6" i="3" s="1"/>
  <c r="AF5" i="3"/>
  <c r="AE5" i="3"/>
  <c r="AD5" i="3"/>
  <c r="Z5" i="3"/>
  <c r="X5" i="3"/>
  <c r="W5" i="3"/>
  <c r="AG5" i="3"/>
  <c r="F5" i="3"/>
  <c r="AA5" i="3" s="1"/>
  <c r="AF4" i="3"/>
  <c r="AE4" i="3"/>
  <c r="Z4" i="3"/>
  <c r="X4" i="3"/>
  <c r="W4" i="3"/>
  <c r="F4" i="3"/>
  <c r="AA4" i="3" s="1"/>
  <c r="G121" i="10" l="1"/>
  <c r="E102" i="12"/>
  <c r="E131" i="12" s="1"/>
  <c r="E129" i="12"/>
  <c r="Z22" i="3"/>
  <c r="H22" i="3"/>
  <c r="N15" i="7"/>
  <c r="M10" i="5"/>
  <c r="G26" i="6"/>
  <c r="E19" i="7"/>
  <c r="E36" i="7" s="1"/>
  <c r="G22" i="6"/>
  <c r="G44" i="6" s="1"/>
  <c r="AE14" i="3"/>
  <c r="AG20" i="3"/>
  <c r="AD22" i="3"/>
  <c r="AE22" i="3"/>
  <c r="G13" i="5"/>
  <c r="G117" i="5" s="1"/>
  <c r="N17" i="7"/>
  <c r="N19" i="7"/>
  <c r="N20" i="7"/>
  <c r="E24" i="8"/>
  <c r="E32" i="10"/>
  <c r="R32" i="10"/>
  <c r="S68" i="10"/>
  <c r="S45" i="10"/>
  <c r="H24" i="8"/>
  <c r="K13" i="8"/>
  <c r="F32" i="10"/>
  <c r="S32" i="10" s="1"/>
  <c r="G104" i="10"/>
  <c r="H17" i="7"/>
  <c r="H34" i="7" s="1"/>
  <c r="G125" i="10"/>
  <c r="D128" i="10"/>
  <c r="D104" i="10"/>
  <c r="G112" i="10"/>
  <c r="I36" i="11"/>
  <c r="T36" i="11"/>
  <c r="H2" i="7"/>
  <c r="AD20" i="3"/>
  <c r="F22" i="3"/>
  <c r="AE21" i="3"/>
  <c r="AD4" i="3"/>
  <c r="E73" i="1" l="1"/>
  <c r="O73" i="1" s="1"/>
  <c r="G130" i="10"/>
  <c r="G132" i="10" s="1"/>
  <c r="H26" i="8"/>
  <c r="H105" i="5"/>
  <c r="H209" i="5" s="1"/>
  <c r="H2" i="5"/>
  <c r="L22" i="5" s="1"/>
  <c r="I2" i="5"/>
  <c r="L23" i="5" s="1"/>
  <c r="I105" i="5"/>
  <c r="I209" i="5" s="1"/>
  <c r="G2" i="5"/>
  <c r="K24" i="8"/>
  <c r="G105" i="5"/>
  <c r="G209" i="5" s="1"/>
  <c r="N18" i="7"/>
  <c r="N22" i="7"/>
  <c r="AG13" i="3"/>
  <c r="G128" i="10"/>
  <c r="AG6" i="3"/>
  <c r="AA22" i="3"/>
  <c r="AG4" i="3"/>
  <c r="D138" i="2" l="1"/>
  <c r="G15" i="12"/>
  <c r="D243" i="2"/>
  <c r="E243" i="2" s="1"/>
  <c r="O20" i="7"/>
  <c r="M23" i="5"/>
  <c r="G20" i="12"/>
  <c r="D188" i="2"/>
  <c r="AG22" i="3"/>
  <c r="L14" i="5"/>
  <c r="O14" i="5" s="1"/>
  <c r="I263" i="2"/>
  <c r="H245" i="2"/>
  <c r="I245" i="2" s="1"/>
  <c r="H242" i="2"/>
  <c r="I242" i="2" s="1"/>
  <c r="I229" i="2"/>
  <c r="H157" i="2"/>
  <c r="I157" i="2" s="1"/>
  <c r="I117" i="2"/>
  <c r="H104" i="2"/>
  <c r="I104" i="2" s="1"/>
  <c r="I91" i="2"/>
  <c r="H86" i="2"/>
  <c r="I86" i="2" s="1"/>
  <c r="H44" i="2"/>
  <c r="I44" i="2" s="1"/>
  <c r="H36" i="2"/>
  <c r="H34" i="2" s="1"/>
  <c r="H35" i="2"/>
  <c r="I35" i="2" s="1"/>
  <c r="H32" i="2"/>
  <c r="I31" i="2"/>
  <c r="I23" i="2"/>
  <c r="H21" i="2"/>
  <c r="I21" i="2" s="1"/>
  <c r="H12" i="2"/>
  <c r="I12" i="2" s="1"/>
  <c r="E263" i="2"/>
  <c r="E235" i="2"/>
  <c r="E229" i="2"/>
  <c r="E157" i="2"/>
  <c r="E109" i="2"/>
  <c r="E104" i="2"/>
  <c r="D44" i="2"/>
  <c r="E44" i="2" s="1"/>
  <c r="D36" i="2"/>
  <c r="D34" i="2" s="1"/>
  <c r="E35" i="2"/>
  <c r="D32" i="2"/>
  <c r="E23" i="2"/>
  <c r="D21" i="2"/>
  <c r="E21" i="2" s="1"/>
  <c r="D12" i="2"/>
  <c r="E12" i="2" s="1"/>
  <c r="I261" i="2"/>
  <c r="I258" i="2"/>
  <c r="I249" i="2"/>
  <c r="I244" i="2"/>
  <c r="I241" i="2"/>
  <c r="I228" i="2"/>
  <c r="I226" i="2"/>
  <c r="I225" i="2"/>
  <c r="I218" i="2"/>
  <c r="I216" i="2"/>
  <c r="I215" i="2"/>
  <c r="I214" i="2"/>
  <c r="I213" i="2"/>
  <c r="I212" i="2"/>
  <c r="I211" i="2"/>
  <c r="I210" i="2"/>
  <c r="I207" i="2"/>
  <c r="I206" i="2"/>
  <c r="I199" i="2"/>
  <c r="I198" i="2"/>
  <c r="I195" i="2"/>
  <c r="I187" i="2"/>
  <c r="I184" i="2"/>
  <c r="I182" i="2"/>
  <c r="I179" i="2"/>
  <c r="I178" i="2"/>
  <c r="I175" i="2"/>
  <c r="I166" i="2"/>
  <c r="I163" i="2"/>
  <c r="I160" i="2"/>
  <c r="I156" i="2"/>
  <c r="I154" i="2"/>
  <c r="I153" i="2"/>
  <c r="I145" i="2"/>
  <c r="I140" i="2"/>
  <c r="I139" i="2"/>
  <c r="I136" i="2"/>
  <c r="I129" i="2"/>
  <c r="I128" i="2"/>
  <c r="I123" i="2"/>
  <c r="I120" i="2"/>
  <c r="I119" i="2"/>
  <c r="I116" i="2"/>
  <c r="I108" i="2"/>
  <c r="I103" i="2"/>
  <c r="I94" i="2"/>
  <c r="I89" i="2"/>
  <c r="I85" i="2"/>
  <c r="I83" i="2"/>
  <c r="I82" i="2"/>
  <c r="I75" i="2"/>
  <c r="I74" i="2"/>
  <c r="I73" i="2"/>
  <c r="I70" i="2"/>
  <c r="I67" i="2"/>
  <c r="I66" i="2"/>
  <c r="I52" i="2"/>
  <c r="E52" i="2"/>
  <c r="I50" i="2"/>
  <c r="E50" i="2"/>
  <c r="I37" i="2"/>
  <c r="E37" i="2"/>
  <c r="E57" i="12"/>
  <c r="E80" i="12" s="1"/>
  <c r="I33" i="2"/>
  <c r="E33" i="2"/>
  <c r="E29" i="2"/>
  <c r="I26" i="2"/>
  <c r="E26" i="2"/>
  <c r="E9" i="2"/>
  <c r="H16" i="12"/>
  <c r="H39" i="12" s="1"/>
  <c r="G86" i="1"/>
  <c r="K86" i="1" s="1"/>
  <c r="G85" i="1"/>
  <c r="K85" i="1" s="1"/>
  <c r="G84" i="1"/>
  <c r="G83" i="1"/>
  <c r="E71" i="1"/>
  <c r="E87" i="1" s="1"/>
  <c r="E89" i="1" s="1"/>
  <c r="Q59" i="1"/>
  <c r="O12" i="1"/>
  <c r="M12" i="1"/>
  <c r="P11" i="1"/>
  <c r="M11" i="1"/>
  <c r="N5" i="1"/>
  <c r="D27" i="2"/>
  <c r="C8" i="11"/>
  <c r="H15" i="12" l="1"/>
  <c r="H38" i="12" s="1"/>
  <c r="K84" i="1"/>
  <c r="K83" i="1"/>
  <c r="H13" i="12"/>
  <c r="H36" i="12" s="1"/>
  <c r="H12" i="12"/>
  <c r="H35" i="12" s="1"/>
  <c r="H21" i="12"/>
  <c r="H44" i="12" s="1"/>
  <c r="H17" i="12"/>
  <c r="H40" i="12" s="1"/>
  <c r="H3" i="2"/>
  <c r="M14" i="5"/>
  <c r="F18" i="12"/>
  <c r="F41" i="12" s="1"/>
  <c r="L24" i="5"/>
  <c r="E197" i="2"/>
  <c r="H18" i="12"/>
  <c r="H41" i="12" s="1"/>
  <c r="H19" i="12"/>
  <c r="H42" i="12" s="1"/>
  <c r="H14" i="12"/>
  <c r="H37" i="12" s="1"/>
  <c r="H8" i="12"/>
  <c r="H31" i="12" s="1"/>
  <c r="H20" i="12"/>
  <c r="H43" i="12" s="1"/>
  <c r="O71" i="1"/>
  <c r="G13" i="12"/>
  <c r="G100" i="12" s="1"/>
  <c r="H11" i="12"/>
  <c r="H34" i="12" s="1"/>
  <c r="E47" i="2"/>
  <c r="D46" i="2"/>
  <c r="E46" i="2" s="1"/>
  <c r="H9" i="12"/>
  <c r="H32" i="12" s="1"/>
  <c r="H7" i="12"/>
  <c r="H30" i="12" s="1"/>
  <c r="I56" i="12"/>
  <c r="I79" i="12" s="1"/>
  <c r="I24" i="2"/>
  <c r="E260" i="2"/>
  <c r="I259" i="2"/>
  <c r="O11" i="1"/>
  <c r="I203" i="2"/>
  <c r="I260" i="2"/>
  <c r="P71" i="1"/>
  <c r="P73" i="1"/>
  <c r="G30" i="12"/>
  <c r="P5" i="1"/>
  <c r="S12" i="11"/>
  <c r="I34" i="2"/>
  <c r="G35" i="12"/>
  <c r="I125" i="2"/>
  <c r="I180" i="2"/>
  <c r="I142" i="2"/>
  <c r="S14" i="11"/>
  <c r="S10" i="11"/>
  <c r="S13" i="11"/>
  <c r="S11" i="11"/>
  <c r="I56" i="2"/>
  <c r="P12" i="1"/>
  <c r="E250" i="2"/>
  <c r="E259" i="2"/>
  <c r="E45" i="2"/>
  <c r="I196" i="2"/>
  <c r="E58" i="12"/>
  <c r="E81" i="12" s="1"/>
  <c r="E158" i="2"/>
  <c r="E105" i="2"/>
  <c r="D30" i="12"/>
  <c r="D22" i="12"/>
  <c r="D45" i="12" s="1"/>
  <c r="E56" i="12"/>
  <c r="E79" i="12" s="1"/>
  <c r="I256" i="2"/>
  <c r="I101" i="2"/>
  <c r="I176" i="2"/>
  <c r="I137" i="2"/>
  <c r="I64" i="2"/>
  <c r="I158" i="2"/>
  <c r="E188" i="2"/>
  <c r="E219" i="2"/>
  <c r="I36" i="2"/>
  <c r="G32" i="12"/>
  <c r="I105" i="2"/>
  <c r="E141" i="2"/>
  <c r="E31" i="2"/>
  <c r="I32" i="2"/>
  <c r="G31" i="12"/>
  <c r="E32" i="2"/>
  <c r="E53" i="2"/>
  <c r="G28" i="12"/>
  <c r="I53" i="2"/>
  <c r="I121" i="2"/>
  <c r="I141" i="2"/>
  <c r="E49" i="2"/>
  <c r="E43" i="2"/>
  <c r="E168" i="2"/>
  <c r="I5" i="2"/>
  <c r="C5" i="11"/>
  <c r="C7" i="11"/>
  <c r="H7" i="11" s="1"/>
  <c r="G33" i="12"/>
  <c r="S7" i="11"/>
  <c r="C28" i="4"/>
  <c r="E142" i="2"/>
  <c r="Q5" i="1"/>
  <c r="B29" i="4"/>
  <c r="B30" i="4" s="1"/>
  <c r="H8" i="11"/>
  <c r="E8" i="11"/>
  <c r="J8" i="11" s="1"/>
  <c r="I15" i="2"/>
  <c r="E51" i="2"/>
  <c r="E24" i="2"/>
  <c r="E34" i="2"/>
  <c r="E76" i="2"/>
  <c r="E5" i="2"/>
  <c r="J5" i="12"/>
  <c r="E36" i="2"/>
  <c r="E69" i="12"/>
  <c r="E92" i="12" s="1"/>
  <c r="G29" i="12"/>
  <c r="E15" i="2"/>
  <c r="C4" i="11"/>
  <c r="S4" i="11"/>
  <c r="E10" i="2"/>
  <c r="I200" i="2"/>
  <c r="E59" i="12"/>
  <c r="E82" i="12" s="1"/>
  <c r="H100" i="12" l="1"/>
  <c r="H129" i="12" s="1"/>
  <c r="G102" i="12"/>
  <c r="G131" i="12" s="1"/>
  <c r="G129" i="12"/>
  <c r="M24" i="5"/>
  <c r="D3" i="2"/>
  <c r="F23" i="12"/>
  <c r="F22" i="12" s="1"/>
  <c r="J28" i="12"/>
  <c r="J56" i="12"/>
  <c r="J79" i="12" s="1"/>
  <c r="I11" i="12"/>
  <c r="U14" i="11"/>
  <c r="I12" i="12"/>
  <c r="I8" i="12"/>
  <c r="I6" i="12"/>
  <c r="I64" i="12"/>
  <c r="I87" i="12" s="1"/>
  <c r="I59" i="12"/>
  <c r="I7" i="12"/>
  <c r="I30" i="12" s="1"/>
  <c r="I55" i="12"/>
  <c r="I78" i="12" s="1"/>
  <c r="I9" i="12"/>
  <c r="E55" i="12"/>
  <c r="E78" i="12" s="1"/>
  <c r="E60" i="12"/>
  <c r="E83" i="12" s="1"/>
  <c r="E66" i="12"/>
  <c r="E89" i="12" s="1"/>
  <c r="E67" i="12"/>
  <c r="E90" i="12" s="1"/>
  <c r="E70" i="12"/>
  <c r="E93" i="12" s="1"/>
  <c r="E62" i="12"/>
  <c r="I68" i="2"/>
  <c r="E27" i="2"/>
  <c r="I57" i="12"/>
  <c r="I80" i="12" s="1"/>
  <c r="I87" i="2"/>
  <c r="I49" i="2"/>
  <c r="I76" i="2"/>
  <c r="I58" i="12"/>
  <c r="I81" i="12" s="1"/>
  <c r="I95" i="2"/>
  <c r="S9" i="11"/>
  <c r="C15" i="11"/>
  <c r="H15" i="11" s="1"/>
  <c r="I122" i="2"/>
  <c r="E106" i="2"/>
  <c r="I69" i="2"/>
  <c r="G42" i="12"/>
  <c r="I88" i="2"/>
  <c r="I106" i="2"/>
  <c r="I16" i="12"/>
  <c r="I21" i="12"/>
  <c r="I44" i="12" s="1"/>
  <c r="E257" i="2"/>
  <c r="E61" i="12"/>
  <c r="E84" i="12" s="1"/>
  <c r="I257" i="2"/>
  <c r="D71" i="12"/>
  <c r="D94" i="12" s="1"/>
  <c r="B71" i="12"/>
  <c r="B94" i="12" s="1"/>
  <c r="I219" i="2"/>
  <c r="I109" i="2"/>
  <c r="G37" i="12"/>
  <c r="I147" i="2"/>
  <c r="G38" i="12"/>
  <c r="E138" i="2"/>
  <c r="I235" i="2"/>
  <c r="I188" i="2"/>
  <c r="I70" i="12"/>
  <c r="I93" i="12" s="1"/>
  <c r="I250" i="2"/>
  <c r="E159" i="2"/>
  <c r="I168" i="2"/>
  <c r="G34" i="12"/>
  <c r="E5" i="11"/>
  <c r="J5" i="11" s="1"/>
  <c r="H5" i="11"/>
  <c r="S5" i="11"/>
  <c r="U5" i="11"/>
  <c r="E65" i="12"/>
  <c r="E88" i="12" s="1"/>
  <c r="E63" i="12"/>
  <c r="E86" i="12" s="1"/>
  <c r="I138" i="2"/>
  <c r="E64" i="12"/>
  <c r="E87" i="12" s="1"/>
  <c r="S24" i="11"/>
  <c r="U4" i="11"/>
  <c r="H4" i="11"/>
  <c r="E4" i="11"/>
  <c r="I51" i="2"/>
  <c r="H102" i="12" l="1"/>
  <c r="H131" i="12" s="1"/>
  <c r="E85" i="12"/>
  <c r="E104" i="12"/>
  <c r="F46" i="12"/>
  <c r="H23" i="12"/>
  <c r="H46" i="12" s="1"/>
  <c r="J59" i="12"/>
  <c r="J82" i="12" s="1"/>
  <c r="I82" i="12"/>
  <c r="I39" i="12"/>
  <c r="J11" i="12"/>
  <c r="J34" i="12" s="1"/>
  <c r="I34" i="12"/>
  <c r="J6" i="12"/>
  <c r="I29" i="12"/>
  <c r="J8" i="12"/>
  <c r="J31" i="12" s="1"/>
  <c r="I31" i="12"/>
  <c r="J12" i="12"/>
  <c r="J35" i="12" s="1"/>
  <c r="I35" i="12"/>
  <c r="J9" i="12"/>
  <c r="J32" i="12" s="1"/>
  <c r="I32" i="12"/>
  <c r="J55" i="12"/>
  <c r="J78" i="12" s="1"/>
  <c r="I61" i="12"/>
  <c r="I19" i="12"/>
  <c r="I68" i="12"/>
  <c r="J21" i="12"/>
  <c r="J44" i="12" s="1"/>
  <c r="I14" i="12"/>
  <c r="I15" i="12"/>
  <c r="J70" i="12"/>
  <c r="J93" i="12" s="1"/>
  <c r="J58" i="12"/>
  <c r="J81" i="12" s="1"/>
  <c r="J64" i="12"/>
  <c r="J87" i="12" s="1"/>
  <c r="J57" i="12"/>
  <c r="J80" i="12" s="1"/>
  <c r="I227" i="2"/>
  <c r="G39" i="12"/>
  <c r="J16" i="12"/>
  <c r="J39" i="12" s="1"/>
  <c r="C30" i="12"/>
  <c r="E7" i="12"/>
  <c r="U9" i="11"/>
  <c r="C21" i="11"/>
  <c r="H21" i="11" s="1"/>
  <c r="E15" i="11"/>
  <c r="J15" i="11" s="1"/>
  <c r="B53" i="11"/>
  <c r="B58" i="11" s="1"/>
  <c r="D58" i="11" s="1"/>
  <c r="C24" i="11"/>
  <c r="H24" i="11" s="1"/>
  <c r="E227" i="2"/>
  <c r="I159" i="2"/>
  <c r="I201" i="2"/>
  <c r="I181" i="2"/>
  <c r="M58" i="11"/>
  <c r="I65" i="12"/>
  <c r="I88" i="12" s="1"/>
  <c r="I84" i="2"/>
  <c r="E102" i="2"/>
  <c r="S8" i="11"/>
  <c r="U8" i="11"/>
  <c r="E155" i="2"/>
  <c r="G44" i="12"/>
  <c r="C22" i="12"/>
  <c r="E22" i="12" s="1"/>
  <c r="I65" i="2"/>
  <c r="C71" i="12"/>
  <c r="C94" i="12" s="1"/>
  <c r="S15" i="11"/>
  <c r="J4" i="11"/>
  <c r="E106" i="12" l="1"/>
  <c r="E135" i="12" s="1"/>
  <c r="E133" i="12"/>
  <c r="E3" i="2"/>
  <c r="G23" i="12"/>
  <c r="I23" i="12" s="1"/>
  <c r="J68" i="12"/>
  <c r="J91" i="12" s="1"/>
  <c r="I91" i="12"/>
  <c r="J61" i="12"/>
  <c r="J84" i="12" s="1"/>
  <c r="I84" i="12"/>
  <c r="J29" i="12"/>
  <c r="J7" i="12"/>
  <c r="J30" i="12" s="1"/>
  <c r="E30" i="12"/>
  <c r="J15" i="12"/>
  <c r="J38" i="12" s="1"/>
  <c r="I38" i="12"/>
  <c r="J14" i="12"/>
  <c r="J37" i="12" s="1"/>
  <c r="I37" i="12"/>
  <c r="J19" i="12"/>
  <c r="J42" i="12" s="1"/>
  <c r="I42" i="12"/>
  <c r="I67" i="12"/>
  <c r="I69" i="12"/>
  <c r="I20" i="12"/>
  <c r="G40" i="12"/>
  <c r="I17" i="12"/>
  <c r="I18" i="12"/>
  <c r="I60" i="12"/>
  <c r="I13" i="12"/>
  <c r="I100" i="12" s="1"/>
  <c r="J65" i="12"/>
  <c r="J88" i="12" s="1"/>
  <c r="E71" i="12"/>
  <c r="E94" i="12" s="1"/>
  <c r="F45" i="12"/>
  <c r="C45" i="12"/>
  <c r="I197" i="2"/>
  <c r="E21" i="11"/>
  <c r="J21" i="11" s="1"/>
  <c r="H58" i="11"/>
  <c r="I155" i="2"/>
  <c r="H53" i="11"/>
  <c r="C23" i="11"/>
  <c r="H23" i="11" s="1"/>
  <c r="I177" i="2"/>
  <c r="I118" i="2"/>
  <c r="S53" i="11"/>
  <c r="G36" i="12"/>
  <c r="I102" i="2"/>
  <c r="I72" i="12"/>
  <c r="I95" i="12" s="1"/>
  <c r="I243" i="2"/>
  <c r="G43" i="12"/>
  <c r="G41" i="12"/>
  <c r="S21" i="11"/>
  <c r="S23" i="11"/>
  <c r="U15" i="11"/>
  <c r="U21" i="11"/>
  <c r="I129" i="12" l="1"/>
  <c r="I102" i="12"/>
  <c r="I131" i="12" s="1"/>
  <c r="I3" i="2"/>
  <c r="G22" i="12"/>
  <c r="J67" i="12"/>
  <c r="J90" i="12" s="1"/>
  <c r="I90" i="12"/>
  <c r="J69" i="12"/>
  <c r="J92" i="12" s="1"/>
  <c r="I92" i="12"/>
  <c r="J60" i="12"/>
  <c r="J83" i="12" s="1"/>
  <c r="I83" i="12"/>
  <c r="J23" i="12"/>
  <c r="J46" i="12" s="1"/>
  <c r="I46" i="12"/>
  <c r="E45" i="12"/>
  <c r="J18" i="12"/>
  <c r="J41" i="12" s="1"/>
  <c r="I41" i="12"/>
  <c r="J20" i="12"/>
  <c r="J43" i="12" s="1"/>
  <c r="I43" i="12"/>
  <c r="J13" i="12"/>
  <c r="J100" i="12" s="1"/>
  <c r="I36" i="12"/>
  <c r="J17" i="12"/>
  <c r="J40" i="12" s="1"/>
  <c r="I40" i="12"/>
  <c r="I62" i="12"/>
  <c r="I104" i="12" s="1"/>
  <c r="I66" i="12"/>
  <c r="I63" i="12"/>
  <c r="J72" i="12"/>
  <c r="J95" i="12" s="1"/>
  <c r="S58" i="11"/>
  <c r="C35" i="11"/>
  <c r="E35" i="11" s="1"/>
  <c r="J35" i="11" s="1"/>
  <c r="G71" i="12"/>
  <c r="G94" i="12" s="1"/>
  <c r="S35" i="11"/>
  <c r="Q35" i="11"/>
  <c r="U35" i="11"/>
  <c r="I133" i="12" l="1"/>
  <c r="I106" i="12"/>
  <c r="I135" i="12" s="1"/>
  <c r="J102" i="12"/>
  <c r="J131" i="12" s="1"/>
  <c r="J129" i="12"/>
  <c r="J66" i="12"/>
  <c r="J89" i="12" s="1"/>
  <c r="I89" i="12"/>
  <c r="J62" i="12"/>
  <c r="I85" i="12"/>
  <c r="J63" i="12"/>
  <c r="J86" i="12" s="1"/>
  <c r="I86" i="12"/>
  <c r="J36" i="12"/>
  <c r="I71" i="12"/>
  <c r="O58" i="11"/>
  <c r="G46" i="12"/>
  <c r="C36" i="11"/>
  <c r="H35" i="11"/>
  <c r="S36" i="11"/>
  <c r="Q36" i="11"/>
  <c r="U36" i="11"/>
  <c r="J85" i="12" l="1"/>
  <c r="J104" i="12"/>
  <c r="J71" i="12"/>
  <c r="J94" i="12" s="1"/>
  <c r="I94" i="12"/>
  <c r="G45" i="12"/>
  <c r="H36" i="11"/>
  <c r="E36" i="11"/>
  <c r="J36" i="11" s="1"/>
  <c r="J106" i="12" l="1"/>
  <c r="J135" i="12" s="1"/>
  <c r="J133" i="12"/>
  <c r="H10" i="12" l="1"/>
  <c r="H33" i="12" s="1"/>
  <c r="I10" i="12" l="1"/>
  <c r="H22" i="12"/>
  <c r="H45" i="12" s="1"/>
  <c r="J10" i="12" l="1"/>
  <c r="I33" i="12"/>
  <c r="I22" i="12"/>
  <c r="I45" i="12" s="1"/>
  <c r="J33" i="12" l="1"/>
  <c r="J22" i="12"/>
  <c r="J45" i="12" s="1"/>
  <c r="E252" i="13" l="1"/>
  <c r="E49" i="13" s="1"/>
  <c r="E251" i="13" l="1"/>
  <c r="G251" i="13" s="1"/>
  <c r="J252" i="13"/>
  <c r="D46" i="1"/>
  <c r="J46" i="1" s="1"/>
  <c r="G252" i="13"/>
  <c r="D45" i="1" l="1"/>
  <c r="J45" i="1" s="1"/>
  <c r="D24" i="1"/>
  <c r="N24" i="1" s="1"/>
  <c r="G49" i="13"/>
  <c r="J49" i="13"/>
  <c r="E42" i="13"/>
  <c r="E41" i="13" s="1"/>
  <c r="G41" i="13" s="1"/>
  <c r="G46" i="1"/>
  <c r="K46" i="1" s="1"/>
  <c r="E48" i="13"/>
  <c r="G48" i="13" s="1"/>
  <c r="N46" i="1"/>
  <c r="D22" i="1"/>
  <c r="G45" i="1"/>
  <c r="D23" i="1"/>
  <c r="L49" i="13" l="1"/>
  <c r="N45" i="1"/>
  <c r="Q46" i="1"/>
  <c r="J24" i="1"/>
  <c r="G24" i="1"/>
  <c r="K24" i="1" s="1"/>
  <c r="E7" i="13"/>
  <c r="K7" i="13" s="1"/>
  <c r="G42" i="13"/>
  <c r="K45" i="1"/>
  <c r="Q45" i="1"/>
  <c r="G23" i="1"/>
  <c r="N22" i="1"/>
  <c r="D12" i="1"/>
  <c r="J22" i="1"/>
  <c r="J23" i="1"/>
  <c r="D21" i="1"/>
  <c r="N23" i="1"/>
  <c r="E6" i="13" l="1"/>
  <c r="G6" i="13" s="1"/>
  <c r="G7" i="13"/>
  <c r="Q24" i="1"/>
  <c r="G22" i="1"/>
  <c r="Q22" i="1" s="1"/>
  <c r="K23" i="1"/>
  <c r="N12" i="1"/>
  <c r="J12" i="1"/>
  <c r="N21" i="1"/>
  <c r="J21" i="1"/>
  <c r="D11" i="1"/>
  <c r="C29" i="4" s="1"/>
  <c r="K22" i="1"/>
  <c r="G21" i="1"/>
  <c r="Q23" i="1"/>
  <c r="G12" i="1" l="1"/>
  <c r="Q12" i="1" s="1"/>
  <c r="G11" i="1"/>
  <c r="Q11" i="1" s="1"/>
  <c r="Q21" i="1"/>
  <c r="C30" i="4"/>
  <c r="N11" i="1"/>
  <c r="H64" i="1"/>
  <c r="J11" i="1"/>
  <c r="K21" i="1"/>
  <c r="K12" i="1" l="1"/>
  <c r="K11" i="1"/>
</calcChain>
</file>

<file path=xl/sharedStrings.xml><?xml version="1.0" encoding="utf-8"?>
<sst xmlns="http://schemas.openxmlformats.org/spreadsheetml/2006/main" count="4407" uniqueCount="1195">
  <si>
    <t>eurodes</t>
  </si>
  <si>
    <t>Algne eelarve</t>
  </si>
  <si>
    <t>Lõplik eelarve</t>
  </si>
  <si>
    <t>Täitmine miinus lõplik eelarve</t>
  </si>
  <si>
    <t>Maksud ja sotsiaalkindlustusmaksed</t>
  </si>
  <si>
    <t>Saadud toetused</t>
  </si>
  <si>
    <t>Riigilõivud</t>
  </si>
  <si>
    <t>Tulu majandustegevusest</t>
  </si>
  <si>
    <t>Tulu põhivara ja varude müügist</t>
  </si>
  <si>
    <t>Trahvid ja muud varalised karistused</t>
  </si>
  <si>
    <t>Keskkonnatasud</t>
  </si>
  <si>
    <t>Muud tegevustulud</t>
  </si>
  <si>
    <t>Intressi- ja omanikutulud</t>
  </si>
  <si>
    <t>sh piirmääraga vahendid</t>
  </si>
  <si>
    <t>Ebatõenäoliselt laekuvad maksud, lõivud, trahvid</t>
  </si>
  <si>
    <t>peab olema</t>
  </si>
  <si>
    <t>vahe</t>
  </si>
  <si>
    <t>KULUD</t>
  </si>
  <si>
    <t>KORRIGEERIMISED</t>
  </si>
  <si>
    <t>Kontroll</t>
  </si>
  <si>
    <t>saldoandmik</t>
  </si>
  <si>
    <t>TULUD</t>
  </si>
  <si>
    <t>Saadud välistoetused vahendamiseks riigiasutustele</t>
  </si>
  <si>
    <t>INVESTEERINGUD</t>
  </si>
  <si>
    <t>Kulud</t>
  </si>
  <si>
    <t>Investeeringud</t>
  </si>
  <si>
    <t xml:space="preserve">JAOTAMATA </t>
  </si>
  <si>
    <t>SAP miinus jaotatud</t>
  </si>
  <si>
    <t>Teistelt valitsemisaladelt saadud välistoetuste kaasfinantseerimine</t>
  </si>
  <si>
    <t>Ebatõenäoliselt laekuvad nõuded (tulu taastamine)</t>
  </si>
  <si>
    <t>Ebatõenäoliselt laekuvad nõuded (kulu taastamine)</t>
  </si>
  <si>
    <t>FINANTSEERIMISTEHINGUD</t>
  </si>
  <si>
    <t>Osaluste ümberhindlus</t>
  </si>
  <si>
    <t>Saadud maksutulu</t>
  </si>
  <si>
    <t>Edasiantud maksutulu, tekkepõhise ja kassapõhise kulu vahe</t>
  </si>
  <si>
    <t>Saadud mitterahaline sihtfinantseerimine</t>
  </si>
  <si>
    <t xml:space="preserve">Lisa </t>
  </si>
  <si>
    <t>Kirje</t>
  </si>
  <si>
    <t>Selgitus</t>
  </si>
  <si>
    <t>Riigikogu</t>
  </si>
  <si>
    <t>Tegevustulud</t>
  </si>
  <si>
    <t>Finantstulud</t>
  </si>
  <si>
    <t>Finantskulud</t>
  </si>
  <si>
    <t>President</t>
  </si>
  <si>
    <t>Riigikontroll</t>
  </si>
  <si>
    <t>Õiguskantsler</t>
  </si>
  <si>
    <t>Riigikohus</t>
  </si>
  <si>
    <t>Riigikantselei</t>
  </si>
  <si>
    <t>HTM</t>
  </si>
  <si>
    <t>3sisesed</t>
  </si>
  <si>
    <t>4,5,6sisesed</t>
  </si>
  <si>
    <t>15ettemaksed</t>
  </si>
  <si>
    <t>Kapitalirendi tagasimaksed</t>
  </si>
  <si>
    <t>Õppelaenude andmine</t>
  </si>
  <si>
    <t>Õppelaenude tagasimaksed</t>
  </si>
  <si>
    <t>KAM</t>
  </si>
  <si>
    <t>Järelmaksunõuete andmine</t>
  </si>
  <si>
    <t>Järelmaksunõuete laekumine</t>
  </si>
  <si>
    <t>KUM</t>
  </si>
  <si>
    <t>MKM</t>
  </si>
  <si>
    <t>Osaluste soetus</t>
  </si>
  <si>
    <t>Sihtotstarbeliste fondide soetus</t>
  </si>
  <si>
    <t>Sihtotstarbeliste fondide tagasilaekumine</t>
  </si>
  <si>
    <t>RAM</t>
  </si>
  <si>
    <t>Rahvusvaheliste osaluste soetus</t>
  </si>
  <si>
    <t>Antud laenude laekumine</t>
  </si>
  <si>
    <t>Võlakirjade emiteerimine</t>
  </si>
  <si>
    <t>Laenude võtmine</t>
  </si>
  <si>
    <t>Võlakirjade emiteerimisel ja laenude võtmisel tasutud menetluskulud</t>
  </si>
  <si>
    <t>Võlakirjade lunastamine</t>
  </si>
  <si>
    <t>Võetud laenude tagasimaksed</t>
  </si>
  <si>
    <t>Kapitalirendikohustiste võtmine</t>
  </si>
  <si>
    <t>SIM</t>
  </si>
  <si>
    <t>SOM</t>
  </si>
  <si>
    <t>VÄM</t>
  </si>
  <si>
    <t>Valitsemisala</t>
  </si>
  <si>
    <t>Käskkirja alusel</t>
  </si>
  <si>
    <t>Majandustegevusest, saastekvootide müügist ja kodumaiste toetuste jäägid</t>
  </si>
  <si>
    <t>Välistoetuste ja kaasfinantseerimise jäägid</t>
  </si>
  <si>
    <t>Kokku</t>
  </si>
  <si>
    <t>Rahandusministri käskkirja alusel</t>
  </si>
  <si>
    <t>Vabariigi Valitsus</t>
  </si>
  <si>
    <t>ok</t>
  </si>
  <si>
    <t xml:space="preserve">Riigikogu </t>
  </si>
  <si>
    <t>Vabariigi President</t>
  </si>
  <si>
    <t>Haridus- ja Teadusministeerium</t>
  </si>
  <si>
    <t>Justiitsministeerium</t>
  </si>
  <si>
    <t>Kaitseministeerium</t>
  </si>
  <si>
    <t>Kultuuriministeerium</t>
  </si>
  <si>
    <t>Majandus- ja Kommunikatsiooniministeerium</t>
  </si>
  <si>
    <t>Rahandusministeerium</t>
  </si>
  <si>
    <t>Siseministeerium</t>
  </si>
  <si>
    <t>Sotsiaalministeerium</t>
  </si>
  <si>
    <t>Välisministeerium</t>
  </si>
  <si>
    <t>Tulud</t>
  </si>
  <si>
    <t>Esialgne eelarve</t>
  </si>
  <si>
    <t>Üle toodud eelmisest aastast</t>
  </si>
  <si>
    <t>Sihtotstarbeliste vahendite reservist</t>
  </si>
  <si>
    <t>Eelarves kavandatud toetused</t>
  </si>
  <si>
    <t>Tegelikult saadud toetused ja avatud sildfinantseerimine</t>
  </si>
  <si>
    <t>Eelarves kavandatud saastekvootide müügist</t>
  </si>
  <si>
    <t>Tegelikult saadud saastekvootide müügist</t>
  </si>
  <si>
    <t>Saastekvootide müügist saadud eelarve ümberjaotamine</t>
  </si>
  <si>
    <t>Eelarves kavandatud majandustegevusest laekuv tulu</t>
  </si>
  <si>
    <t>Tegelikult majandustegevusest saadud tulu</t>
  </si>
  <si>
    <t>Eelarves kavandatud muud tuludest sõltuvad kulud</t>
  </si>
  <si>
    <t>Eelarves kavandatud edasiantavad maksud</t>
  </si>
  <si>
    <t>Tegelikud edasiantavad maksud</t>
  </si>
  <si>
    <t xml:space="preserve">Saadud Vabariigi Valitsuse reservfondist </t>
  </si>
  <si>
    <t>Antud Vabariigi valitsuse reservfondi</t>
  </si>
  <si>
    <t>Saadud omandireformi reservfondist</t>
  </si>
  <si>
    <t>Kokku lõplik eelarve</t>
  </si>
  <si>
    <t>Sihtotstarbeliste vahendite reservi liikumine</t>
  </si>
  <si>
    <t>Eelarve jagu</t>
  </si>
  <si>
    <t>Käskkirja number</t>
  </si>
  <si>
    <t>Otstarve</t>
  </si>
  <si>
    <t>Kasutatud</t>
  </si>
  <si>
    <t>Jääk</t>
  </si>
  <si>
    <t>Üle viidud asutustele</t>
  </si>
  <si>
    <t>Eraldatud Rahandusministrile algsest eelarvest</t>
  </si>
  <si>
    <t>Kokku rahandusministri fond</t>
  </si>
  <si>
    <t>Üle antud asutustele</t>
  </si>
  <si>
    <t>Rahandusministri jääk</t>
  </si>
  <si>
    <t>Asutuste jääk</t>
  </si>
  <si>
    <t>Asutuste jäägist asutustele</t>
  </si>
  <si>
    <t>Asutuste jäägist VV reservi</t>
  </si>
  <si>
    <t>Kokku VV reservi</t>
  </si>
  <si>
    <t>Automaatse biomeetrilise identifitseerimissüsteemi rakendamine</t>
  </si>
  <si>
    <t>Korralduse/Käskkirja number</t>
  </si>
  <si>
    <t>Maareformi kulude katteks</t>
  </si>
  <si>
    <t>Maareformiga seotud kuludeks</t>
  </si>
  <si>
    <t>Hoonestusõiguse seadmiseks</t>
  </si>
  <si>
    <t>Maareformi elluviimine ja ettevõtluse arendamiseks vajaliku keskkonna ja tingimiste loomine</t>
  </si>
  <si>
    <t>Omandireformi käigus tagastatud ehitusmälestiste hooldamine, remont, konserveerimine, restaureerimine</t>
  </si>
  <si>
    <t>Kohalike omavalitsuste üksustele</t>
  </si>
  <si>
    <t>Omandi- ja maareformi ülesannete täitmiseks</t>
  </si>
  <si>
    <t>OR090143</t>
  </si>
  <si>
    <t>vv kor 30.01.2020 nr 34</t>
  </si>
  <si>
    <t>vv kor 141 31.05.2018</t>
  </si>
  <si>
    <t>Riigile loovutatud korterite ülalpidamiskuludeks</t>
  </si>
  <si>
    <t>vv kor 224 13.09.2018 juurde 524440</t>
  </si>
  <si>
    <t>Õigusvastaselt võõrandatud vara kompenseerimine ja kasutamata erastamisväärtpaberite hüvitamine</t>
  </si>
  <si>
    <t>Vabariigi Valitsuse reservi liikumine</t>
  </si>
  <si>
    <t>Korralduse number</t>
  </si>
  <si>
    <t>Järgmisse aastasse viidud</t>
  </si>
  <si>
    <t>Esialgne eelarve VV-le</t>
  </si>
  <si>
    <t>Üle toodud VV-le</t>
  </si>
  <si>
    <t>Sihtotstarbelisse reservi</t>
  </si>
  <si>
    <t>KOKKU VV</t>
  </si>
  <si>
    <t>Üle toodud asutustele</t>
  </si>
  <si>
    <t>Eraldatud asutustele</t>
  </si>
  <si>
    <t>Jääk asutustes</t>
  </si>
  <si>
    <t>Tagasi reservi asutuste jäägist</t>
  </si>
  <si>
    <t>Jääk VV-s</t>
  </si>
  <si>
    <t>Täitmine</t>
  </si>
  <si>
    <t>Võlakirjade ost</t>
  </si>
  <si>
    <t>Võlakirjade müük</t>
  </si>
  <si>
    <t>Sissemaksed investeerimisfondidesse</t>
  </si>
  <si>
    <t>Sissemaksed osalustesse riigi sihtasutustes</t>
  </si>
  <si>
    <t>Sissemaksed osalustesse riigi äriühingutes</t>
  </si>
  <si>
    <t>Laekunud osaluste müügist ja likvideerimisest</t>
  </si>
  <si>
    <t>Sissemaksed rahvusvaheliste organisatsioonide osalustesse</t>
  </si>
  <si>
    <t>Sissemaksed riigi sihtasutuste sihtotstarbelistesse fondidesse</t>
  </si>
  <si>
    <t>Tagasilaekumised riigi sihtotstarbelistest fondidest</t>
  </si>
  <si>
    <t xml:space="preserve"> Antud laenud (õppelaenud, järelmaksunõuded)</t>
  </si>
  <si>
    <t>Antud laenud</t>
  </si>
  <si>
    <t>Antud laenude tagasimaksed</t>
  </si>
  <si>
    <t>sh 499809,73 arv krediidi tagasimakse</t>
  </si>
  <si>
    <t>Laekunud võlakirjade emiteerimisest</t>
  </si>
  <si>
    <t>Võetud laenud</t>
  </si>
  <si>
    <t>Võetud kapitalirendikohustised</t>
  </si>
  <si>
    <t>Kapitalirendikohustiste tagasimaksed</t>
  </si>
  <si>
    <t>Hoiuste muut</t>
  </si>
  <si>
    <t>Riigisisene käibemaksukulu</t>
  </si>
  <si>
    <t>Raha aasta algul</t>
  </si>
  <si>
    <t>Raha aasta lõpul</t>
  </si>
  <si>
    <t>Muut</t>
  </si>
  <si>
    <t>Tulud ja kulud</t>
  </si>
  <si>
    <t>Laenunõuete allahindlus</t>
  </si>
  <si>
    <t>Võlakirjade ümberhindluse tulem (rv 21)</t>
  </si>
  <si>
    <t>Järelmaksude diskonto intress</t>
  </si>
  <si>
    <t>Võetud laenude laenukulu amort</t>
  </si>
  <si>
    <t>Võetud laenude valuuta ümberhindlus</t>
  </si>
  <si>
    <t>Investeerimisportfelli ümberhindluse kasum</t>
  </si>
  <si>
    <t>Valuutakursimuutused, 608000</t>
  </si>
  <si>
    <t>Valuutakursimuutused, 658900</t>
  </si>
  <si>
    <t>Valuutakursimuutused, 655700</t>
  </si>
  <si>
    <t>Pikk bilanss</t>
  </si>
  <si>
    <t>rahavooline muut</t>
  </si>
  <si>
    <t>k</t>
  </si>
  <si>
    <t>100000</t>
  </si>
  <si>
    <t xml:space="preserve">Kassa </t>
  </si>
  <si>
    <t>raha muut</t>
  </si>
  <si>
    <t>100080</t>
  </si>
  <si>
    <t>Raha teel</t>
  </si>
  <si>
    <t>100100</t>
  </si>
  <si>
    <t>Arvelduskontod pankades</t>
  </si>
  <si>
    <t>100300</t>
  </si>
  <si>
    <t>Reservide ja keskkassa kontod</t>
  </si>
  <si>
    <t>100900</t>
  </si>
  <si>
    <t>Tähtajalised deposiidid</t>
  </si>
  <si>
    <t>101120</t>
  </si>
  <si>
    <t>Lühiajalised võlakirjad</t>
  </si>
  <si>
    <t>fin tehingud</t>
  </si>
  <si>
    <t>101130</t>
  </si>
  <si>
    <t xml:space="preserve">Pikaajalised võlakirjad </t>
  </si>
  <si>
    <t>101900</t>
  </si>
  <si>
    <t>Noteerimata aktsiad</t>
  </si>
  <si>
    <t>102000</t>
  </si>
  <si>
    <t>Käibemaks</t>
  </si>
  <si>
    <t>tulu korrigeerimine</t>
  </si>
  <si>
    <t>102010</t>
  </si>
  <si>
    <t>Sotsiaalmaks</t>
  </si>
  <si>
    <t>102020</t>
  </si>
  <si>
    <t>Üksiksiku tulumaks</t>
  </si>
  <si>
    <t>102030</t>
  </si>
  <si>
    <t>Töötuskindlustusmaksed</t>
  </si>
  <si>
    <t>102035</t>
  </si>
  <si>
    <t>Kogumispensioni maksed</t>
  </si>
  <si>
    <t>102040</t>
  </si>
  <si>
    <t>Erisoodustuste ja ettevõtja tulumaks</t>
  </si>
  <si>
    <t>102050</t>
  </si>
  <si>
    <t>Maamaks</t>
  </si>
  <si>
    <t>102055</t>
  </si>
  <si>
    <t>Aktsiisid</t>
  </si>
  <si>
    <t>102056</t>
  </si>
  <si>
    <t>Tollimaks</t>
  </si>
  <si>
    <t>102060</t>
  </si>
  <si>
    <t>Muud maksud</t>
  </si>
  <si>
    <t>102080</t>
  </si>
  <si>
    <t>Nõuded loodusressursside kasutamisest ja saastetasudest</t>
  </si>
  <si>
    <t>102081</t>
  </si>
  <si>
    <t>Muud maksulaadsete tasude nõuded</t>
  </si>
  <si>
    <t>102090</t>
  </si>
  <si>
    <t>Trahvinõuded</t>
  </si>
  <si>
    <t>102091</t>
  </si>
  <si>
    <t>Kohtuotsuse alusel välja mõistetud nõuded</t>
  </si>
  <si>
    <t>102095</t>
  </si>
  <si>
    <t>Maksuvõlalt arvestatud intressinõuded</t>
  </si>
  <si>
    <t>102100</t>
  </si>
  <si>
    <t>Ebatõenäoliselt laekuv käibemaks</t>
  </si>
  <si>
    <t>102110</t>
  </si>
  <si>
    <t>Ebatõenäoliselt laekuv sotsiaalmaks</t>
  </si>
  <si>
    <t>102120</t>
  </si>
  <si>
    <t>Ebatõenäoliselt laekuv üksiksiku tulumaks</t>
  </si>
  <si>
    <t>102130</t>
  </si>
  <si>
    <t>Ebatõenäoliselt laekuvad töötuskindlustusmaksed</t>
  </si>
  <si>
    <t>102135</t>
  </si>
  <si>
    <t>Ebatõenäoliselt laekuvad kogumispensioni maksed</t>
  </si>
  <si>
    <t>102140</t>
  </si>
  <si>
    <t>Ebatõenäoliselt laekuv erisoodustuste ja ettevõtja tulumaks</t>
  </si>
  <si>
    <t>102150</t>
  </si>
  <si>
    <t>Ebatõenäoliselt laekuv maamaks</t>
  </si>
  <si>
    <t>102155</t>
  </si>
  <si>
    <t>Ebatõenäoliselt laekuvad aktsiisid</t>
  </si>
  <si>
    <t>102156</t>
  </si>
  <si>
    <t>Ebatõenäoliselt laekuv tollimaks</t>
  </si>
  <si>
    <t>102160</t>
  </si>
  <si>
    <t>Ebatõenäoliselt laekuvad muud maksud</t>
  </si>
  <si>
    <t>102180</t>
  </si>
  <si>
    <t>Ebatõenäoliselt laekuvad nõuded loodusressursside kasutamisest ja saastetasudest</t>
  </si>
  <si>
    <t>102190</t>
  </si>
  <si>
    <t>Ebatõenäoliselt laekuvad trahvinõuded</t>
  </si>
  <si>
    <t>102191</t>
  </si>
  <si>
    <t>Ebatõenäoliselt laekuvad kohtuotsuse alusel välja mõistetud nõuded</t>
  </si>
  <si>
    <t>102195</t>
  </si>
  <si>
    <t>Ebatõenäoliselt laekuvad maksuvõlalt arvestatud intressinõuded</t>
  </si>
  <si>
    <t>103000</t>
  </si>
  <si>
    <t>Nõuded ostjate vastu (va põhivara müük)</t>
  </si>
  <si>
    <t>103009</t>
  </si>
  <si>
    <t>Ebatõenäoliselt laekuvaks hinnatud nõuded ostjate vastu</t>
  </si>
  <si>
    <t>103010</t>
  </si>
  <si>
    <t xml:space="preserve">Nõuded müüdud põhivara eest </t>
  </si>
  <si>
    <t>103019</t>
  </si>
  <si>
    <t>Ebatõenäoliselt laekuvaks hinnatud nõuded müüdud põhivara eest</t>
  </si>
  <si>
    <t>103100</t>
  </si>
  <si>
    <t>Laekumata intressid</t>
  </si>
  <si>
    <t>103109</t>
  </si>
  <si>
    <t>Ebatõenäoliselt laekuvad intressid</t>
  </si>
  <si>
    <t>103190</t>
  </si>
  <si>
    <t>Muud viitlaekumised</t>
  </si>
  <si>
    <t>103201</t>
  </si>
  <si>
    <t>Antud arvelduskrediit</t>
  </si>
  <si>
    <t>103210</t>
  </si>
  <si>
    <t>Antud pikaajaliste laenude lühiajaline osa nominaalväärtuses</t>
  </si>
  <si>
    <t>103240</t>
  </si>
  <si>
    <t>Õppelaenud</t>
  </si>
  <si>
    <t>103249</t>
  </si>
  <si>
    <t>Ebatõenäoliselt laekuvad õppelaenud</t>
  </si>
  <si>
    <t>103250</t>
  </si>
  <si>
    <t>Järelmaksunõuded põhivara müügi eest</t>
  </si>
  <si>
    <t>103259</t>
  </si>
  <si>
    <t>Ebatõenäoliselt laekuvad järelmaksunõuded põhivara müügi eest</t>
  </si>
  <si>
    <t>103550</t>
  </si>
  <si>
    <t>Saamata tegevuskulude sihtfinantseerimine</t>
  </si>
  <si>
    <t>103555</t>
  </si>
  <si>
    <t>Saamata tegevuskulude kaasfinantseerimine</t>
  </si>
  <si>
    <t>103556</t>
  </si>
  <si>
    <t>Saamata põhivara sihtfinantseerimine</t>
  </si>
  <si>
    <t>103557</t>
  </si>
  <si>
    <t>Saamata põhivara kaasfinantseerimine</t>
  </si>
  <si>
    <t>103560</t>
  </si>
  <si>
    <t>Saamata muud toetused</t>
  </si>
  <si>
    <t>103610</t>
  </si>
  <si>
    <t>Kinnipidamised töötasudest</t>
  </si>
  <si>
    <t>kulu korrigeerimine</t>
  </si>
  <si>
    <t>103620</t>
  </si>
  <si>
    <t>Makstud tagatisdeposiidid</t>
  </si>
  <si>
    <t>103630</t>
  </si>
  <si>
    <t>Kohtutäituritele makstud ettemaksed</t>
  </si>
  <si>
    <t>103650</t>
  </si>
  <si>
    <t>Sihtfinantseerimise tagasinõuded</t>
  </si>
  <si>
    <t>103655</t>
  </si>
  <si>
    <t>Kaasfinantseerimise tagasinõuded</t>
  </si>
  <si>
    <t>103670</t>
  </si>
  <si>
    <t>Muud toetuste tagasinõuded</t>
  </si>
  <si>
    <t>103690</t>
  </si>
  <si>
    <t>Muud nõuded</t>
  </si>
  <si>
    <t>103699</t>
  </si>
  <si>
    <t>Ebatõenäoliselt laekuvad muud nõuded (miinusega)</t>
  </si>
  <si>
    <t>103750</t>
  </si>
  <si>
    <t>Maamaksu ettemaks</t>
  </si>
  <si>
    <t>103780</t>
  </si>
  <si>
    <t>Makstud loodusressursside kasutamise tasude ettemaksed</t>
  </si>
  <si>
    <t>103850</t>
  </si>
  <si>
    <t>Ettemakstud sihtfinantseerimised</t>
  </si>
  <si>
    <t>103855</t>
  </si>
  <si>
    <t>Ettemakstud kaasfinantseerimised</t>
  </si>
  <si>
    <t>103856</t>
  </si>
  <si>
    <t>Ettemakstud põhivara sihtfinantseerimised</t>
  </si>
  <si>
    <t>103857</t>
  </si>
  <si>
    <t>Ettemakstud põhivara kaasfinantseerimised</t>
  </si>
  <si>
    <t>103860</t>
  </si>
  <si>
    <t>Muud ettemakstud toetused</t>
  </si>
  <si>
    <t>103920</t>
  </si>
  <si>
    <t>Majanduskulude ettemaksed töötajatele</t>
  </si>
  <si>
    <t>103930</t>
  </si>
  <si>
    <t>Töö- ja puhkusetasu ettemaksed</t>
  </si>
  <si>
    <t>103931</t>
  </si>
  <si>
    <t>Deklareeritud sotsiaalmaksukulu töötasu ettemaksetelt</t>
  </si>
  <si>
    <t>103932</t>
  </si>
  <si>
    <t>Deklareeritud töötuskindlustusmakse kulu töötasu ettemaksetelt</t>
  </si>
  <si>
    <t>103990</t>
  </si>
  <si>
    <t>Muud ettemakstud tulevaste perioodide kulud</t>
  </si>
  <si>
    <t>107010</t>
  </si>
  <si>
    <t>Mets</t>
  </si>
  <si>
    <t>pv</t>
  </si>
  <si>
    <t>108000</t>
  </si>
  <si>
    <t>Mobilisatsioonivarud</t>
  </si>
  <si>
    <t>108010</t>
  </si>
  <si>
    <t>Riigi tegevusvarud</t>
  </si>
  <si>
    <t>108100</t>
  </si>
  <si>
    <t>Tooraine ja materjalid</t>
  </si>
  <si>
    <t>108300</t>
  </si>
  <si>
    <t>Valmistoodang</t>
  </si>
  <si>
    <t>108400</t>
  </si>
  <si>
    <t>Ostetud kaubad müügiks</t>
  </si>
  <si>
    <t>108920</t>
  </si>
  <si>
    <t>Ettemaksed varude eest</t>
  </si>
  <si>
    <t>150020</t>
  </si>
  <si>
    <t>Osalused sihtasutustes ja mittetulundusühingutes</t>
  </si>
  <si>
    <t>150200</t>
  </si>
  <si>
    <t>Tütarettevõtjate aktsiad ja muud omakapitaliinstrumendid</t>
  </si>
  <si>
    <t>150210</t>
  </si>
  <si>
    <t>Sidusettevõtjate aktsiad ja muud omakapitaliinstrumendid</t>
  </si>
  <si>
    <t>151100</t>
  </si>
  <si>
    <t>Osalused investeerimisfondides</t>
  </si>
  <si>
    <t>151900</t>
  </si>
  <si>
    <t>Osalused rahvusvahelistes organisatsioonides</t>
  </si>
  <si>
    <t>151990</t>
  </si>
  <si>
    <t>Muud pikaajalised finantsinvesteeringud</t>
  </si>
  <si>
    <t>153010</t>
  </si>
  <si>
    <t>Nõuded müüdud põhivara eest</t>
  </si>
  <si>
    <t>153200</t>
  </si>
  <si>
    <t>Laenunõuete pikaajaline osa nominaalväärtuses</t>
  </si>
  <si>
    <t>antud ja võetud laenude tasaarveldus (EFSF)</t>
  </si>
  <si>
    <t>153209</t>
  </si>
  <si>
    <t>Ebatõenäoliselt laekuvad laenud (miinus)</t>
  </si>
  <si>
    <t>153240</t>
  </si>
  <si>
    <t>Õppelaenude pikaajaline osa</t>
  </si>
  <si>
    <t>153249</t>
  </si>
  <si>
    <t>Ebatõenäoliselt laekuvad õppelaenud (miinus)</t>
  </si>
  <si>
    <t>153250</t>
  </si>
  <si>
    <t>Järelmaksunõuete pikaajaline osa põhivara müügi eest</t>
  </si>
  <si>
    <t>153251</t>
  </si>
  <si>
    <t>Diskonteeritud järemaksunõuete nominaalväärtuse vähendus</t>
  </si>
  <si>
    <t>153259</t>
  </si>
  <si>
    <t>Ebatõenäoliselt laekuvad järelmaksunõuded põhivara müügi eest (miinus)</t>
  </si>
  <si>
    <t>153556</t>
  </si>
  <si>
    <t>Saamata sihtfinanstseerimine põhivara soetuseks</t>
  </si>
  <si>
    <t>153690</t>
  </si>
  <si>
    <t>Muud pikaajalised nõuded</t>
  </si>
  <si>
    <t>153699</t>
  </si>
  <si>
    <t>Ebatõenäoliselt laekuvad muud pikaajalised nõuded</t>
  </si>
  <si>
    <t>153780</t>
  </si>
  <si>
    <t>Laenu- ja finantseerimistegevuseks antud sihtfinantseermine</t>
  </si>
  <si>
    <t>153990</t>
  </si>
  <si>
    <t xml:space="preserve">Pikaajalised ettemaksed </t>
  </si>
  <si>
    <t>154000</t>
  </si>
  <si>
    <t>Kinnisvarainvesteeringud soetusmaksumuses</t>
  </si>
  <si>
    <t>154010</t>
  </si>
  <si>
    <t>Kinnisvarainvesteeringute kogunenud kulum</t>
  </si>
  <si>
    <t>155000</t>
  </si>
  <si>
    <t>Maa</t>
  </si>
  <si>
    <t>155100</t>
  </si>
  <si>
    <t>Hooned (v.a. eluhooned) soetusmaksmuses</t>
  </si>
  <si>
    <t>155106</t>
  </si>
  <si>
    <t>Teed soetusmaksumuses</t>
  </si>
  <si>
    <t>155109</t>
  </si>
  <si>
    <t>Muud rajatised soetusmaksumuses</t>
  </si>
  <si>
    <t>155110</t>
  </si>
  <si>
    <t>Hoonete (va eluhooned) kogunenud kulum</t>
  </si>
  <si>
    <t>155116</t>
  </si>
  <si>
    <t>Teede kogunenud kulum</t>
  </si>
  <si>
    <t>155119</t>
  </si>
  <si>
    <t>Muude rajatiste kogunenud kulum</t>
  </si>
  <si>
    <t>155300</t>
  </si>
  <si>
    <t>Kaitseotstarbeline põhivara soetusmaksumuses</t>
  </si>
  <si>
    <t>155310</t>
  </si>
  <si>
    <t>Kaitseotstarbelise põhivara kogunenud kulum</t>
  </si>
  <si>
    <t>155400</t>
  </si>
  <si>
    <t>Masinad ja seadmed soetusmaksumuses</t>
  </si>
  <si>
    <t>155405</t>
  </si>
  <si>
    <t>Transpordivahendid soetusmaksumuses</t>
  </si>
  <si>
    <t>155410</t>
  </si>
  <si>
    <t>Masinate ja seadmete kogunenud kulum</t>
  </si>
  <si>
    <t>155415</t>
  </si>
  <si>
    <t>Transpordivahendite kogunenud kulum</t>
  </si>
  <si>
    <t>155500</t>
  </si>
  <si>
    <t>Info- ja kommunikatsioonitehnoloogia seadmed soetusmaksumuses</t>
  </si>
  <si>
    <t>155510</t>
  </si>
  <si>
    <t>Info- ja kommunikatsioonitehnoloogia seadmete kogunenud kulum</t>
  </si>
  <si>
    <t>155600</t>
  </si>
  <si>
    <t>Muu amortiseeruv põhivara soetusmaksumuses</t>
  </si>
  <si>
    <t>155610</t>
  </si>
  <si>
    <t>Muu amortiseeruva põhivara kogunenud kulum</t>
  </si>
  <si>
    <t>155700</t>
  </si>
  <si>
    <t>Mitteamortiseeruv materiaalne põhivara</t>
  </si>
  <si>
    <t>155900</t>
  </si>
  <si>
    <t>Üle andmata tsentraliseeritud korras soetatud varad</t>
  </si>
  <si>
    <t>155910</t>
  </si>
  <si>
    <t>Lõpetamata ehitused ja etapiviisilised soetused</t>
  </si>
  <si>
    <t>155920</t>
  </si>
  <si>
    <t>Ettemaksed materiaalse põhivara eest</t>
  </si>
  <si>
    <t>investeeringute korrigeerimine</t>
  </si>
  <si>
    <t>156000</t>
  </si>
  <si>
    <t>Tarkvara soetusmaksumuses</t>
  </si>
  <si>
    <t>156010</t>
  </si>
  <si>
    <t>Tarkvara kogunenud kulum</t>
  </si>
  <si>
    <t>156200</t>
  </si>
  <si>
    <t>Õigused ja litsentsid soetusmaksumuses</t>
  </si>
  <si>
    <t>156210</t>
  </si>
  <si>
    <t>Õiguste ja litsentside kogunenud kulum</t>
  </si>
  <si>
    <t>156600</t>
  </si>
  <si>
    <t>Muu immateriaalne põhivara soetusmaksumuses</t>
  </si>
  <si>
    <t>156610</t>
  </si>
  <si>
    <t>Muu immateriaalse põhivara kogunenud kulum</t>
  </si>
  <si>
    <t>156900</t>
  </si>
  <si>
    <t>156910</t>
  </si>
  <si>
    <t>156920</t>
  </si>
  <si>
    <t>Ettemaksed immateriaalse põhivara eest</t>
  </si>
  <si>
    <t>157000</t>
  </si>
  <si>
    <t>Taimed ja istandused</t>
  </si>
  <si>
    <t>157010</t>
  </si>
  <si>
    <t>157020</t>
  </si>
  <si>
    <t>Loomad</t>
  </si>
  <si>
    <t>200000</t>
  </si>
  <si>
    <t>Käibemaksu ettemaksed</t>
  </si>
  <si>
    <t>200010</t>
  </si>
  <si>
    <t>Sotsiaalmaksu ettemaksed</t>
  </si>
  <si>
    <t>200020</t>
  </si>
  <si>
    <t>Üksikisiku tulumaksu ettemaksed</t>
  </si>
  <si>
    <t>200030</t>
  </si>
  <si>
    <t>Töötuskindlustusmaksete ettemaksed</t>
  </si>
  <si>
    <t>200035</t>
  </si>
  <si>
    <t>Kogumispensioni maksete ettemaksed</t>
  </si>
  <si>
    <t>200040</t>
  </si>
  <si>
    <t>Erisoodustuste ja ettevõtja tulumaksu ettemaksed</t>
  </si>
  <si>
    <t>200050</t>
  </si>
  <si>
    <t>Maamaksu ettemaksed</t>
  </si>
  <si>
    <t>200055</t>
  </si>
  <si>
    <t>Aktsiiside ettemaksed</t>
  </si>
  <si>
    <t>200056</t>
  </si>
  <si>
    <t xml:space="preserve">Tolliametile laekunud maksude ettemaksed </t>
  </si>
  <si>
    <t>200060</t>
  </si>
  <si>
    <t>Muud maksude ettemaksed</t>
  </si>
  <si>
    <t>200070</t>
  </si>
  <si>
    <t>Saadud lõivude ettemaksed</t>
  </si>
  <si>
    <t>200080</t>
  </si>
  <si>
    <t>Saadud loodusressursside ja saastetasude ettemaks</t>
  </si>
  <si>
    <t>200090</t>
  </si>
  <si>
    <t>Saadud trahvide ettemaksed</t>
  </si>
  <si>
    <t>200095</t>
  </si>
  <si>
    <t>Saadud maksuvõlgade intresside ettemaksed</t>
  </si>
  <si>
    <t>200099</t>
  </si>
  <si>
    <t>Ettemaksukontode jäägid</t>
  </si>
  <si>
    <t>201000</t>
  </si>
  <si>
    <t xml:space="preserve">Võlad tarnijatele toodete ja teenuste eest </t>
  </si>
  <si>
    <t>201010</t>
  </si>
  <si>
    <t xml:space="preserve">Võlad tarnijatele põhivara eest </t>
  </si>
  <si>
    <t>202000</t>
  </si>
  <si>
    <t>Töötasu võlgnevus</t>
  </si>
  <si>
    <t>202001</t>
  </si>
  <si>
    <t xml:space="preserve">Deklareerimata sotsiaalmaksukohustus </t>
  </si>
  <si>
    <t>202002</t>
  </si>
  <si>
    <t>Deklareerimata kinnipeetud tulumaks</t>
  </si>
  <si>
    <t>202003</t>
  </si>
  <si>
    <t>Deklareerimata kinni peetud ja arvestatud töötuskindlustusmakse</t>
  </si>
  <si>
    <t>202004</t>
  </si>
  <si>
    <t>Deklareerimata kinnipeetud kogumispension</t>
  </si>
  <si>
    <t>202010</t>
  </si>
  <si>
    <t>Puhkusetasude kohustus</t>
  </si>
  <si>
    <t>202050</t>
  </si>
  <si>
    <t>Võlad majanduskulude eest</t>
  </si>
  <si>
    <t>202090</t>
  </si>
  <si>
    <t>Muud võlad töötajatele</t>
  </si>
  <si>
    <t>203010</t>
  </si>
  <si>
    <t>Sotsiaalmaksu kohustis</t>
  </si>
  <si>
    <t>203020</t>
  </si>
  <si>
    <t>Üksikisiku tulumaksu kohustis</t>
  </si>
  <si>
    <t>203030</t>
  </si>
  <si>
    <t>Töötuskindlustusmakse kohustis</t>
  </si>
  <si>
    <t>203035</t>
  </si>
  <si>
    <t>Kogumispensioni maksete kohustis</t>
  </si>
  <si>
    <t>203050</t>
  </si>
  <si>
    <t>Maamaksu kohustis</t>
  </si>
  <si>
    <t>203055</t>
  </si>
  <si>
    <t>Aktsiisimaksu kohustis</t>
  </si>
  <si>
    <t>203056</t>
  </si>
  <si>
    <t>Tollimaksu kohustis</t>
  </si>
  <si>
    <t>203060</t>
  </si>
  <si>
    <t>Muud maksukohustised</t>
  </si>
  <si>
    <t>203070</t>
  </si>
  <si>
    <t>Lõivukohustised</t>
  </si>
  <si>
    <t>203080</t>
  </si>
  <si>
    <t>Loodusressursside kasutamise ja saastetasude kohustis</t>
  </si>
  <si>
    <t>203200</t>
  </si>
  <si>
    <t xml:space="preserve">Intressikohustised </t>
  </si>
  <si>
    <t>203290</t>
  </si>
  <si>
    <t xml:space="preserve">Muud viitvõlad </t>
  </si>
  <si>
    <t>203550</t>
  </si>
  <si>
    <t>Sihtfinantseerimisega seotud kohustised</t>
  </si>
  <si>
    <t>203555</t>
  </si>
  <si>
    <t>Kaasfinantseerimisega seotud kohustised</t>
  </si>
  <si>
    <t>203556</t>
  </si>
  <si>
    <t>Põhivara sihtfinantseerimise kohustised</t>
  </si>
  <si>
    <t>203557</t>
  </si>
  <si>
    <t>Põhivara kaasfinantseerimise kohustised</t>
  </si>
  <si>
    <t>203560</t>
  </si>
  <si>
    <t>Muud toetuste andmise kohustised</t>
  </si>
  <si>
    <t>203561</t>
  </si>
  <si>
    <t xml:space="preserve">Deklareerimata sotsiaalmaksukohustis </t>
  </si>
  <si>
    <t>203562</t>
  </si>
  <si>
    <t>203564</t>
  </si>
  <si>
    <t>203600</t>
  </si>
  <si>
    <t>Selgitamata laekumised</t>
  </si>
  <si>
    <t>203601</t>
  </si>
  <si>
    <t>Edasiandmisele kuuluvad laekumised</t>
  </si>
  <si>
    <t>203610</t>
  </si>
  <si>
    <t>Konfiskeeritud varad</t>
  </si>
  <si>
    <t>203620</t>
  </si>
  <si>
    <t>Tagatistasud, kautsjonid</t>
  </si>
  <si>
    <t>203630</t>
  </si>
  <si>
    <t>Klientide raha</t>
  </si>
  <si>
    <t>203640</t>
  </si>
  <si>
    <t>Kohtutäiturile ülekantavad summad</t>
  </si>
  <si>
    <t>203650</t>
  </si>
  <si>
    <t>Sihtfinantseerimise tagasimaksekohustised</t>
  </si>
  <si>
    <t>203690</t>
  </si>
  <si>
    <t>Muud kohustised</t>
  </si>
  <si>
    <t>203850</t>
  </si>
  <si>
    <t>Sihtfinantseerimiseks saadud ettemaksed</t>
  </si>
  <si>
    <t>203855</t>
  </si>
  <si>
    <t>Kaasfinantseerimiseks saadud ettemaksed</t>
  </si>
  <si>
    <t>203856</t>
  </si>
  <si>
    <t>Põhivara sihtfinantseerimiseks saadud ettemaksed</t>
  </si>
  <si>
    <t>203900</t>
  </si>
  <si>
    <t>Ettemaksed toodete ja teenuste eest</t>
  </si>
  <si>
    <t>203910</t>
  </si>
  <si>
    <t>Ettemaksed müüdud põhivara eest</t>
  </si>
  <si>
    <t>203990</t>
  </si>
  <si>
    <t>Muud saadud ettemaksed</t>
  </si>
  <si>
    <t>206000</t>
  </si>
  <si>
    <t>Eraldised kohtuprotsesside suhtes</t>
  </si>
  <si>
    <t>eraldised</t>
  </si>
  <si>
    <t>206011</t>
  </si>
  <si>
    <t>Edasikindlustajate osa pikaajalises preemiate eraldises</t>
  </si>
  <si>
    <t>206040</t>
  </si>
  <si>
    <t>Pensionieraldised</t>
  </si>
  <si>
    <t>206041</t>
  </si>
  <si>
    <t>Töösuhte Lõppemise hüvitiste eraldised</t>
  </si>
  <si>
    <t>206045</t>
  </si>
  <si>
    <t>Eraldised tervisekahjude hüvitamiseks</t>
  </si>
  <si>
    <t>206050</t>
  </si>
  <si>
    <t>Keskkonnakaitselised eraldised</t>
  </si>
  <si>
    <t>206090</t>
  </si>
  <si>
    <t>Muud eraldised</t>
  </si>
  <si>
    <t>208000</t>
  </si>
  <si>
    <t>Emiteeritud lühiajalised võlakirjad nominaalväärtuses</t>
  </si>
  <si>
    <t>208001</t>
  </si>
  <si>
    <t>Emiteeritud lühiajaliste võlakirjade nominaalväärtuse ja soetusmaksumuse vahe amortiseerimata osa</t>
  </si>
  <si>
    <t>208120</t>
  </si>
  <si>
    <t>Võetud pikaajalised laenud nominaalväärtuses</t>
  </si>
  <si>
    <t>208200</t>
  </si>
  <si>
    <t>Kapitalirendikohustused</t>
  </si>
  <si>
    <t>253020</t>
  </si>
  <si>
    <t>Üksikisiku tulumaksu kohustus</t>
  </si>
  <si>
    <t>253550</t>
  </si>
  <si>
    <t>Sihtfinantseerimise kohustused</t>
  </si>
  <si>
    <t>253690</t>
  </si>
  <si>
    <t>253890</t>
  </si>
  <si>
    <t>Muud saadud pikaajalised ettemaksed</t>
  </si>
  <si>
    <t>256040</t>
  </si>
  <si>
    <t>256041</t>
  </si>
  <si>
    <t>Töösuhte lõppemise hüvitiste eraldised</t>
  </si>
  <si>
    <t>256045</t>
  </si>
  <si>
    <t>256050</t>
  </si>
  <si>
    <t>256090</t>
  </si>
  <si>
    <t>258000</t>
  </si>
  <si>
    <t>Emiteeritud võlakirjad nominaalväärtuses</t>
  </si>
  <si>
    <t>258001</t>
  </si>
  <si>
    <t>Amortiseerimata võlakirjade nominaal- ja soetusmaksumuse vahe</t>
  </si>
  <si>
    <t>258100</t>
  </si>
  <si>
    <t>Laenud nominaalväärtuses</t>
  </si>
  <si>
    <t>258101</t>
  </si>
  <si>
    <t>Amortiseerimata laenukulud</t>
  </si>
  <si>
    <t>258200</t>
  </si>
  <si>
    <t>290000</t>
  </si>
  <si>
    <t>Stabiliseerimisreserv</t>
  </si>
  <si>
    <t>netovara muut</t>
  </si>
  <si>
    <t>290040</t>
  </si>
  <si>
    <t>Omandireformi reserv</t>
  </si>
  <si>
    <t>298000</t>
  </si>
  <si>
    <t>Akumuleeritud ülejääk (puudujääk)</t>
  </si>
  <si>
    <t>299000</t>
  </si>
  <si>
    <t>Aruandeperioodi tulem</t>
  </si>
  <si>
    <t xml:space="preserve">Tulu tulemiaruandes </t>
  </si>
  <si>
    <t xml:space="preserve">Maksude laekumine </t>
  </si>
  <si>
    <t>Täitmise %</t>
  </si>
  <si>
    <t>Tulemiaruande tulude ja laekumiste vahe</t>
  </si>
  <si>
    <t>Maksude laekumine</t>
  </si>
  <si>
    <t xml:space="preserve">Tulumaks </t>
  </si>
  <si>
    <t xml:space="preserve">Sotsiaalmaks </t>
  </si>
  <si>
    <t xml:space="preserve">Aktsiisid </t>
  </si>
  <si>
    <t>Raskeveokimaks</t>
  </si>
  <si>
    <t>Hasartmängumaks</t>
  </si>
  <si>
    <t>Kohalikud maksud</t>
  </si>
  <si>
    <t>Maksud kokku</t>
  </si>
  <si>
    <t>Kohandamine ühekuulise laekumise nihkega</t>
  </si>
  <si>
    <t>Jaanuaris laekunud käibemaks</t>
  </si>
  <si>
    <t>Jaanuaris laekunud aktsiis</t>
  </si>
  <si>
    <t>Jaanuaris laekunud sotsiaalmaks</t>
  </si>
  <si>
    <t>Järgmise aasta jaanuaris laekunud käibemaks</t>
  </si>
  <si>
    <t>Järgmise aasta jaanuaris laekunud aktsiis</t>
  </si>
  <si>
    <t>Järgmise aasta jaanuaris laekunud sotsiaalmaks</t>
  </si>
  <si>
    <t>Kokku koos kohandamisega</t>
  </si>
  <si>
    <t>Riigisiseselt tulemiaruandes elimineeritud maksutulu ja -kulu taastamine</t>
  </si>
  <si>
    <t>Käibemaksukulu tegevuskuludelt</t>
  </si>
  <si>
    <t>Käibemaksukulu põhivara soetuselt</t>
  </si>
  <si>
    <t>Käibemaksukulu finantseerimistehingutelt</t>
  </si>
  <si>
    <t xml:space="preserve">Kokku </t>
  </si>
  <si>
    <t xml:space="preserve">Korrigeeritud eelarvepositsiooni arvestatud maksutulude eelarve ja täitmine </t>
  </si>
  <si>
    <t xml:space="preserve">Tulu tulemiaruandes kajastab maksutulu vähendatuna ebatõenäoliselt laekuvaks loetud maksutuluga (tulemiaruandes kulu). </t>
  </si>
  <si>
    <t>Eelarvepositsiooni loetakse laekunud maksutulu, mida kolme maksuliigi puhul korrigeeritakse ühekuulise maksutulude laekumise nihkega, st jäetakse välja aasta esimese kuu laekumised ning liidetakse järgmise aasta esimese kuu laekumised.</t>
  </si>
  <si>
    <t xml:space="preserve">Eelarve koostamisel ei elimineeritud riigisisest maksutulu ja -kulu, mis tulemiaruandes on elimineeritud. Eelarve täitmise aruandes on riigisisesed maksutulud- ja kulud samuti elimineerimata. 2019. a võrdlusandmeid on korrigeeritud, varasematel aastatel kajastati eelarve täitmise koondosas maksutulu ilma riigisiseste maksutuludeta. </t>
  </si>
  <si>
    <t>Edasiantud maksud</t>
  </si>
  <si>
    <t>Kulu tulemiaruandes</t>
  </si>
  <si>
    <t>Ülekanded maksutulu edasiandmiseks</t>
  </si>
  <si>
    <t>Tulemiaruande kulude ja ülekandmiste vahe</t>
  </si>
  <si>
    <t xml:space="preserve">Tulumaks - Kohalike omavalitsuste üksusele </t>
  </si>
  <si>
    <t>Sotsiaalmaks - kogumispensioni registripidajale</t>
  </si>
  <si>
    <t>Töötuskindlustusmakse - Töötukassale</t>
  </si>
  <si>
    <t>Kogumispensionimakse - kogumispensioni registripidajale</t>
  </si>
  <si>
    <t>Maamaks - Kohalike omavalitsuste üksustele</t>
  </si>
  <si>
    <t>Sotsiaalmaks - Haigekassale</t>
  </si>
  <si>
    <t>Aktsiisid - Kultuurkapitalile</t>
  </si>
  <si>
    <t>Hasartmängumaks - Kultuurkapitalile</t>
  </si>
  <si>
    <t>Tollimaks - Euroopa Liidule</t>
  </si>
  <si>
    <t>Edasiantud maksud kokku</t>
  </si>
  <si>
    <t>Jaanuaris makstud sotsiaalmaksu ravikindlustuse osa</t>
  </si>
  <si>
    <t>Järgmise aasta jaanuaris makstud sotsiaalmaksu ravikindlustuse osa</t>
  </si>
  <si>
    <t>Jaanuaris makstud aktsiisid</t>
  </si>
  <si>
    <t>Järgmise aasta jaanuaris makstud aktsiisid</t>
  </si>
  <si>
    <t>Edasiantud maksud kohandatuna kokku</t>
  </si>
  <si>
    <t>Kohandatud edasiantavad maksud</t>
  </si>
  <si>
    <t>Töötuskindlustusmakse -Töötukassale</t>
  </si>
  <si>
    <t>Kassapõhine maksutulu jaotus KAISis, Rahandusministeeriumi valitsemisala</t>
  </si>
  <si>
    <t>maksutulu liik</t>
  </si>
  <si>
    <t>eelarve liik</t>
  </si>
  <si>
    <t>eelarve konto</t>
  </si>
  <si>
    <t>kassapõhine täitmine (SAP BO KASSA001)</t>
  </si>
  <si>
    <t>miinus jaanuar 2021</t>
  </si>
  <si>
    <t>pluss jaanuar 2022</t>
  </si>
  <si>
    <t>Aruandesse</t>
  </si>
  <si>
    <t>Füüsilise isiku tulumaks</t>
  </si>
  <si>
    <t>Juriidilise isiku tulumaks</t>
  </si>
  <si>
    <t>Sotsiaalmaks pensionikindlustuseks</t>
  </si>
  <si>
    <t>Sotsiaalmaks Haigekassale</t>
  </si>
  <si>
    <t>Alkoholiaktsiis</t>
  </si>
  <si>
    <t>Tubakaaktsiis</t>
  </si>
  <si>
    <t>Kütuseaktsiis</t>
  </si>
  <si>
    <t>Pakendiaktsiis</t>
  </si>
  <si>
    <t>Elektriaktsiis</t>
  </si>
  <si>
    <t>KOKKU</t>
  </si>
  <si>
    <t>Kassapõhine edasiantud maksukulu jaotus KAISis, Sotsiaalministeeriumi valitsemisala</t>
  </si>
  <si>
    <t>maksukulu liik</t>
  </si>
  <si>
    <t>Kassapõhine edasiantud maksukulu jaotus KAISis, Kultuuriministeeriumi valitsemisala</t>
  </si>
  <si>
    <t>Aktsiisid Kultuurkapitalile</t>
  </si>
  <si>
    <t>Hasartmängumaks Kultuurkapitalile</t>
  </si>
  <si>
    <t>Kassapõhine edasiantud maksukulu jaotus, Vabariigi Valitsus</t>
  </si>
  <si>
    <t>Tulumaks KOVidele</t>
  </si>
  <si>
    <t>Maamaks KOVidele</t>
  </si>
  <si>
    <t>Tollimaks EL-le</t>
  </si>
  <si>
    <t>Kokku edasiantud maksud aruandes</t>
  </si>
  <si>
    <t>Kirje nimetus</t>
  </si>
  <si>
    <t>Eelarve täitmine</t>
  </si>
  <si>
    <t>Tulemiaruanne</t>
  </si>
  <si>
    <t>Vahe</t>
  </si>
  <si>
    <t xml:space="preserve">Tulud </t>
  </si>
  <si>
    <t>Kaupade ja teenuste müük</t>
  </si>
  <si>
    <t>Muud tulud</t>
  </si>
  <si>
    <t>Intressi- ja dividenditulud</t>
  </si>
  <si>
    <t>Riigieelarve tuludesse kaasamata tulud</t>
  </si>
  <si>
    <t>Riigieelarvesse kaasamata tulud</t>
  </si>
  <si>
    <t>Tulemiaruande kirjed, mis ei kajastu riigieelarves eraldi kirjetel</t>
  </si>
  <si>
    <t>Tulem bioloogilise vara õiglase väärtuse muutusest</t>
  </si>
  <si>
    <t>Tulem osalustelt</t>
  </si>
  <si>
    <t>Tulem osaluste ümberhindlusest</t>
  </si>
  <si>
    <t>Tulu hoiustelt ja väärtpaberitelt</t>
  </si>
  <si>
    <t>Muud finantstulud</t>
  </si>
  <si>
    <t>Tulud kokku</t>
  </si>
  <si>
    <t xml:space="preserve">Kulud </t>
  </si>
  <si>
    <t xml:space="preserve">Riigieelarve kulud </t>
  </si>
  <si>
    <t>Riigieelarve kuludesse kaasamata kulud</t>
  </si>
  <si>
    <t>Riigieelarvesse kuludesse kaasamata kulud</t>
  </si>
  <si>
    <t>Riigieelarvesse kaasamata kulud</t>
  </si>
  <si>
    <t>Kulud tulemiaruandes</t>
  </si>
  <si>
    <t>Antud toetused</t>
  </si>
  <si>
    <t>Edasiantud maksud, lõivud, trahvid</t>
  </si>
  <si>
    <t>Tööjõukulud</t>
  </si>
  <si>
    <t>Majandamiskulud</t>
  </si>
  <si>
    <t>Põhivara amortisatsioon ja väärtuse muutus</t>
  </si>
  <si>
    <t>Muud kulud</t>
  </si>
  <si>
    <t>Intressikulu</t>
  </si>
  <si>
    <t>Muud finantskulud</t>
  </si>
  <si>
    <t>Kulud kokku</t>
  </si>
  <si>
    <t>Tulem kokku</t>
  </si>
  <si>
    <t>Selgitus vahede kohta:</t>
  </si>
  <si>
    <t>Riigieelarve tuludes on maksutulud ja muud tulud esitatud vähendatuna ebatõenäoliselt laekuvaks hinnatud maksu-, lõivu- ja trahvinõuete muutusega, sh maksunõuete allahindluse vähendus 3 244 409,20 eurot (2018. a allahindlus 45 515 698,21 eurot) ja muude tulude allahindlus 10 780 903,18 eurot (2018. a 8 356 009,64 eurot) (vt ka lisa a4). Tulemiaruandes on vastavad kulud kokku summas 7 536 493,98 eurot (2018. a 57 871 707,85 eurot) kajastatud kuludes eraldi kirjel.</t>
  </si>
  <si>
    <t>Saastekvootide müügist saadud tulu võetakse eelarvepositsioonis arvesse üheaastase ajalise nihkega. Seetõttu on saastekvootide müügist laekunud kogutulust summas 140 850 502,11 eurot (2018. a 140 850 502,11 eurot) võetud positsioonis arvesse 140 029 800 eurot (2018. a 39 354 130 eurot) ja vähendatud positsiooni kaasatud tulu 2 932 314 euro võrra (2018. a 101 496 372 euro võrra).</t>
  </si>
  <si>
    <t>Finantstulud on eelarves planeeritud ühel real nimetusega "Intressi- ja dividenditulud", kuid tulemiaruandes on need jaotatud kolmele kirjele. Eelarves ei ole planeeritud ning eelarvepositsiooni ei mõjuta osaluste ja finantsinvesteeringute ümberhindlus ja nende müügist saadud tulem (v.a intressitulu) ega valuutakursi muutustest saadud tulem.</t>
  </si>
  <si>
    <t>Kulude poolel ei ole eelarve täitmise aruande koondosas ning tulemiaruandes esitatud kirjed võrreldavad, v.a põhivara amortisatsioon ja väärtuse muutus.</t>
  </si>
  <si>
    <t>Eraldiste väljamaksed ei kajastu tulemiaruandes kuludena (kajastuvad bilansis kajastatud eraldiste vähenemisena), kuid need arvestatakse eelarvepositsiooni kaasatud kuludesse. Samas ei loeta eelarvepositsiooni eraldiste moodustamise kulu ja neilt arvestatud intressikulu (eelarvepositsiooni mõjutab eraldise väljamakse). Riigieelarves on osa eraldistest planeeritud kuluks moodustamise momendil ning need on võetud tagasi positsiooni arvestuses. Suurem osa kuludest on riigieelarves planeeritud väljamaksetena, mitte moodustamisel. Need on korrigeeritud tulemiaruandega võrdlemisel.</t>
  </si>
  <si>
    <t xml:space="preserve">Eelarvepositsiooni mõjutab materiaalsete ja immateriaalsete põhivarade soetus. Hilisem põhivarade amortisatsioon ja väärtuse muutus või mitterahaline üleandmine (mitterahaliselt antud toetused) ei mõjuta eelarvepositsiooni ega ole ka riigieelarve kuludes planeeritud. </t>
  </si>
  <si>
    <t>Eelarvepositsiooni mõjutab varude soetus (v.a ettemaksed varude eest), mitte selle hilisem kuluks kandmine. Riigieelarves on kulu planeeritud tegelike kulude järgi.</t>
  </si>
  <si>
    <t>Finantsinvesteeringuteks Euroopa Liidu eelarvest saadud toetused on finantsarvestuses kajastatud tuluna ja sihtotstarbeliste fondide moodustamisena (vt lisa a5). Eelarvepositsiooni arvestuses on tulud tagasi arvestatud, kuna need kajastatakse tuluna kulude tekkimisel (laenukahjumid, muud fonde vähendavad kulud).</t>
  </si>
  <si>
    <t>Eelarvepositsiooni arvestuses on loetud kuluks sihtasutustesse ja äriühingusse OÜ Rail Baltic Estonia tehtud rahalised sissemaksed (osaluste soetamine), millelt ei planeerita tulevikus dividenditulu.</t>
  </si>
  <si>
    <t>Mitterahalised tegevuskulud on tehtud mitterahaliste saadud toetuste arvel ning kajastatud nii tulude kui ka kulude poolel eelarvepositsiooni kaasamata tulude ja kuludena.</t>
  </si>
  <si>
    <t>Soetused aastaaruandes</t>
  </si>
  <si>
    <t>Investeeringud riigieelarve täitmise aruandes</t>
  </si>
  <si>
    <t xml:space="preserve">Materiaalse põhivara soetus (vt lisa a13) </t>
  </si>
  <si>
    <t xml:space="preserve">Immateriaalse põhivara soetus (vt lisa a13) </t>
  </si>
  <si>
    <t xml:space="preserve">Ettemaksete muutus </t>
  </si>
  <si>
    <t>Käibemaksukulu põhivara soetustelt</t>
  </si>
  <si>
    <t>Ettemakseid põhivara eest ei loeta riigieelarves ega eelarvepositsioonis investeeringuteks. Põhivara soetused võetakse riigieelarves ja eelarvepositsioonis arvesse põhivarade saamisel, sh pooleliolevad ehitustööd vastavalt teostatud tööde aktidele.</t>
  </si>
  <si>
    <t>Tulemiaruande näitajad</t>
  </si>
  <si>
    <t>Riigieelarve täitmise aruande näitajad</t>
  </si>
  <si>
    <t>Elimineerimised</t>
  </si>
  <si>
    <t>Tegevuskulud</t>
  </si>
  <si>
    <t>Teistele valitsemisaladele antud välistoetused ja kaasfinantseerimine</t>
  </si>
  <si>
    <t>Edasiantud keskkonnatasud, tekkepõhine, Vabariigi Valitsus</t>
  </si>
  <si>
    <t>Rahvusvaheliste osaluste tagasilaekumine</t>
  </si>
  <si>
    <t>vv kor 456 23.12.2021</t>
  </si>
  <si>
    <t>vv 23.12.2021 nr 456</t>
  </si>
  <si>
    <t>OR090108</t>
  </si>
  <si>
    <t>OR09A138</t>
  </si>
  <si>
    <t>Osaluste müük</t>
  </si>
  <si>
    <t>Tulu tulemiaruandes (miinus ebatõenäoliselt laekuvad maksunõuded)</t>
  </si>
  <si>
    <t>Tagasilaekumised rahvusvaheliste organisatsioonide osalustest</t>
  </si>
  <si>
    <t>103540</t>
  </si>
  <si>
    <t>Laenu- ja finantseerimistegevuseks antud sihtfinantseerimine</t>
  </si>
  <si>
    <t>Kasum/kahjum võlakirjade müügist</t>
  </si>
  <si>
    <t>otse netovarasse või osalustesse</t>
  </si>
  <si>
    <t>Tagastatud</t>
  </si>
  <si>
    <t>tuhandetes eurodes</t>
  </si>
  <si>
    <t>Tulemusvaldkond: KULTUUR ja SPORT</t>
  </si>
  <si>
    <t>Õigusvastaselt võõrandatud maa tagastamine</t>
  </si>
  <si>
    <t>Eelarves kavandatud välistoetuste kaasrahastamine</t>
  </si>
  <si>
    <t>Tegelik välistoetuste kaasrahastamine</t>
  </si>
  <si>
    <t>Mitterahaline dividend</t>
  </si>
  <si>
    <t>Tulud majandustegevusest</t>
  </si>
  <si>
    <t>sh käibemaks</t>
  </si>
  <si>
    <t>Finantstulud- ja kulud</t>
  </si>
  <si>
    <t>Kokku tulem</t>
  </si>
  <si>
    <t>Käibemaksukulu investeeringutelt</t>
  </si>
  <si>
    <t>Vahe (riigieelarve täitmise tulem miinus tulemiaruande tulem)</t>
  </si>
  <si>
    <t>Tegevuskulud, v.a käibemaksukulu</t>
  </si>
  <si>
    <t>Investeeringud, v.a käibemaksukulu</t>
  </si>
  <si>
    <t>Korrigeerimised</t>
  </si>
  <si>
    <t>Tulu põhivarade ja varude müügist</t>
  </si>
  <si>
    <t>Laenukohustised</t>
  </si>
  <si>
    <t>Laenunõuded</t>
  </si>
  <si>
    <t>RE aruandes netos</t>
  </si>
  <si>
    <t>Kulud, investeeringud</t>
  </si>
  <si>
    <t xml:space="preserve">   sh piirmääraga vahendid</t>
  </si>
  <si>
    <t xml:space="preserve">   sh käibemaks</t>
  </si>
  <si>
    <t>Trahvid ja varalised karistused</t>
  </si>
  <si>
    <t>sisene</t>
  </si>
  <si>
    <t>Finantseerimistehingud, v.a käibemaksukulu</t>
  </si>
  <si>
    <t>KULTUURIMINISTEERIUMI valitsemisala</t>
  </si>
  <si>
    <t>Tulemusvaldkond: SIDUS ÜHISKOND</t>
  </si>
  <si>
    <t>Kultuuriprogramm</t>
  </si>
  <si>
    <t>Loovisikute toetamine ja tunnustamine</t>
  </si>
  <si>
    <t>Kirjanduspoliitika kujundamine ja rakendamine</t>
  </si>
  <si>
    <t>Etenduskunstide poliitika kujundamine ja rakendamine</t>
  </si>
  <si>
    <t>Audiovisuaalpoliitika kujundamine ja rakendamine</t>
  </si>
  <si>
    <t>Muusikapoliitika kujundamine ja rakendamine</t>
  </si>
  <si>
    <t>Kunstipoliitika kujundamine ja rakendamine</t>
  </si>
  <si>
    <t>Meediapoliitika kujundamine ja rakendamine</t>
  </si>
  <si>
    <t>Raamatukogupoliitika kujundamine ja rakendamine</t>
  </si>
  <si>
    <t>Rahvakultuuripoliitika kujundamine ja rakendamine</t>
  </si>
  <si>
    <t>Kultuurivaldkonna rahvusvahelistumise edendamine</t>
  </si>
  <si>
    <t>Loomemajanduspoliitika kujundamine ja rakendamine</t>
  </si>
  <si>
    <t>Kultuuri valdkondadeülene tugi- ja arendustegevus</t>
  </si>
  <si>
    <t>Spordiprogramm</t>
  </si>
  <si>
    <t>Saavutusspordi toetamine ja arendamine</t>
  </si>
  <si>
    <t>Ausa spordi ja sporditurvalisuse toetamine ning arendamine</t>
  </si>
  <si>
    <t>Organiseeritud liikumisharrastuse edendamine</t>
  </si>
  <si>
    <t>KS01010100</t>
  </si>
  <si>
    <t>KS01010200</t>
  </si>
  <si>
    <t>KS01010300</t>
  </si>
  <si>
    <t>KS01010400</t>
  </si>
  <si>
    <t>KS01010500</t>
  </si>
  <si>
    <t>KS01010600</t>
  </si>
  <si>
    <t>KS01010700</t>
  </si>
  <si>
    <t>KS01010800</t>
  </si>
  <si>
    <t>KS01020300</t>
  </si>
  <si>
    <t>KS01020400</t>
  </si>
  <si>
    <t>KS01030100</t>
  </si>
  <si>
    <t>KS01030200</t>
  </si>
  <si>
    <t>KS01030300</t>
  </si>
  <si>
    <t>KS01030400</t>
  </si>
  <si>
    <t>KS02010100</t>
  </si>
  <si>
    <t>KS02010200</t>
  </si>
  <si>
    <t>KS02020100</t>
  </si>
  <si>
    <t>Küberturvalisuse tagamine</t>
  </si>
  <si>
    <t>Finantseerimistegevuseks antud sihtfinantseerimine</t>
  </si>
  <si>
    <t>sisene 89 177,53</t>
  </si>
  <si>
    <t>sisene 25.-</t>
  </si>
  <si>
    <t>Presidendi Kantselei</t>
  </si>
  <si>
    <t>IT vajaku kompenseerimine</t>
  </si>
  <si>
    <t>Omandireformi käigus tagastatud ehitismälestiste hooldus, remont</t>
  </si>
  <si>
    <t>Maa korralise hindamisega seotud infotehnoloogilised arendustööd ja infosüsteemide ülalhoid</t>
  </si>
  <si>
    <t>Riigikogu Kantselei</t>
  </si>
  <si>
    <t>miinus jaanuar 2022</t>
  </si>
  <si>
    <t>pluss jaanuar 2023</t>
  </si>
  <si>
    <t>ebatõenäolised trahvid ja maj teg nõuded korrigeerimistes ühes summas</t>
  </si>
  <si>
    <t>Edasiantud liiklustrahvid, tekkepõhine, Vabariigi Valitsus</t>
  </si>
  <si>
    <t>sisene maamaksutulu</t>
  </si>
  <si>
    <t>sisene tulu majandustegevusest</t>
  </si>
  <si>
    <t>Laenude andmine</t>
  </si>
  <si>
    <t>Vabariigi Valitsuse eelarveosa kulud kajastuvad Rahandusministeeriumi tulemiaruandes.</t>
  </si>
  <si>
    <t>kohustised</t>
  </si>
  <si>
    <t>varad</t>
  </si>
  <si>
    <t>250010</t>
  </si>
  <si>
    <t>Kohustised ostetud põhivara eest</t>
  </si>
  <si>
    <t>pv mahakandmise ja kapitalirendi tasaarveldus</t>
  </si>
  <si>
    <t>EFSF intressi tasaarveldus</t>
  </si>
  <si>
    <t>Kindlustusfondidelt laekunud II samba väljamaksete eraldis</t>
  </si>
  <si>
    <t>Sihtfondide ümberhindlus (655400)</t>
  </si>
  <si>
    <t>Investeerimisportfelli ümberhindluse kasum (655400)</t>
  </si>
  <si>
    <t>Garantiikohustiste eraldise korrigeerimine</t>
  </si>
  <si>
    <t>oli</t>
  </si>
  <si>
    <t>Elimineeritud aruandest:</t>
  </si>
  <si>
    <t>Kohalikud maksud, tulu</t>
  </si>
  <si>
    <t>Kohalikud maksud, edasiandmise kulu</t>
  </si>
  <si>
    <t>Sotsiaalmaks - Tervisekassale</t>
  </si>
  <si>
    <t>Sissemaksed riskikapitalifondidesse</t>
  </si>
  <si>
    <t>Kliimaministeerium</t>
  </si>
  <si>
    <t>Regionaal- ja Põllumajandusministeerium</t>
  </si>
  <si>
    <t>Täitmine 2023</t>
  </si>
  <si>
    <t>Lõimumis-, sh kohanemispoliitika kujundamine ja rakendamine</t>
  </si>
  <si>
    <t>SY06020100</t>
  </si>
  <si>
    <t>Rahvuskaaslaste toetamine</t>
  </si>
  <si>
    <t>SY06030100</t>
  </si>
  <si>
    <t>KS01020500</t>
  </si>
  <si>
    <t>vv eelarve osa</t>
  </si>
  <si>
    <t>som</t>
  </si>
  <si>
    <t>Muudatused Vabariigi Valitsuse korralduste alusel</t>
  </si>
  <si>
    <t>REM</t>
  </si>
  <si>
    <t>Tegelikud muud tuludest sõltuvad kulud</t>
  </si>
  <si>
    <t>Rahvusvaheliste kultuuri- ja spordisündmuste toetamine</t>
  </si>
  <si>
    <t>Sihtotstarbeta reservist</t>
  </si>
  <si>
    <t>Triinu tabel</t>
  </si>
  <si>
    <t>Kasum/kahjum põhivara ja varude müügist</t>
  </si>
  <si>
    <t>kassa001, liik 53</t>
  </si>
  <si>
    <t>Sotsiaalmaks Tervisekassale</t>
  </si>
  <si>
    <t>EL makse, täidab RAM (v.a tollimaks)</t>
  </si>
  <si>
    <t>Kassapõhine edasiantud maksukulu jaotus KAISis, MKMi valitsemisala</t>
  </si>
  <si>
    <t>Maksud- ja sotsiaalkindlustusmaksed</t>
  </si>
  <si>
    <t>Investeerimisfondide soetus</t>
  </si>
  <si>
    <t>KLIM</t>
  </si>
  <si>
    <t>Periood 12.2023</t>
  </si>
  <si>
    <t>Makstud keskkonnatasude ettemaksed</t>
  </si>
  <si>
    <t>mitterahaline</t>
  </si>
  <si>
    <t>Puhkusetasude kohustus; Lootsi likvideerimiselt</t>
  </si>
  <si>
    <t>Antud laenud (õppelaenud, järelmaksunõuded)</t>
  </si>
  <si>
    <t>153700</t>
  </si>
  <si>
    <t>Põhivara soetuseks antud sihtfinantseerimine</t>
  </si>
  <si>
    <t>Tagastatud VV reservi jooksval aastal</t>
  </si>
  <si>
    <t>Tagastatud asutustelt ületoodud vahendid reservi jooksval aastal</t>
  </si>
  <si>
    <t>KOKKU VV peale eraldamist</t>
  </si>
  <si>
    <t>jäägid aruandes</t>
  </si>
  <si>
    <t>Kultuurivaldkonna digiteerimine</t>
  </si>
  <si>
    <t>Diskonteeritud tulude intress (konto 658080)</t>
  </si>
  <si>
    <t>Lisas a1 kajastatud riigiraamatupidamiskohustuslaste tulemiaruande võrdlus riigieelarve täitmise aruandega 2024</t>
  </si>
  <si>
    <t>Tulemiaruande ja riigieelarve täitmise aruande võrdlus 2024</t>
  </si>
  <si>
    <t>Põhivara soetuse ja riigieelarve täitmise aruande võrdlus 2024</t>
  </si>
  <si>
    <t>Maksutulude eelarve täitmine ja võrdlus tulemiaruandega 2024</t>
  </si>
  <si>
    <t xml:space="preserve">Eelarve koostamisel ei elimineeritud riigisisest maksutulu ja -kulu, mis tulemiaruandes on elimineeritud. Eelarve täitmise aruandes on riigisisesed maksutulud- ja kulud samuti elimineerimata. </t>
  </si>
  <si>
    <t>miinus jaanuar 2023</t>
  </si>
  <si>
    <t>pluss jaanuar 2024</t>
  </si>
  <si>
    <t>Periood 12.2024</t>
  </si>
  <si>
    <t>Finantseerimistehingud 2024</t>
  </si>
  <si>
    <t>Omandireformi reservi kasutamine 2024. a</t>
  </si>
  <si>
    <t>Üle viidud VV reservi</t>
  </si>
  <si>
    <t>Eraldatud ja ümber jaotatud</t>
  </si>
  <si>
    <t xml:space="preserve">Eraldatud </t>
  </si>
  <si>
    <t xml:space="preserve">Üle viidud järgmisse aastasse </t>
  </si>
  <si>
    <t>Üle viidud</t>
  </si>
  <si>
    <t>Üle toodud eelmisest asastast</t>
  </si>
  <si>
    <t xml:space="preserve">Eraldatud ja ümber jaotatud </t>
  </si>
  <si>
    <t>Üle toodud eelmisest aastast asutustele</t>
  </si>
  <si>
    <t>Üle toodud VV reservi</t>
  </si>
  <si>
    <t>2024. aastast 2025. aastasse üle kantud eelarve komponendid</t>
  </si>
  <si>
    <t>Täitmine 2024</t>
  </si>
  <si>
    <t xml:space="preserve">Osalused avaliku sektori ja sidusüksustes </t>
  </si>
  <si>
    <t>Raamatupidamisandmed 2024</t>
  </si>
  <si>
    <t>RE aruanne 2024</t>
  </si>
  <si>
    <t>Vahe 2024</t>
  </si>
  <si>
    <t>Lõimumis-, sh kohanemisprogramm</t>
  </si>
  <si>
    <t>Arhitektuuri ja disaini poliitika kujundamine ning rakendamine</t>
  </si>
  <si>
    <t>Muuseumi- ja muinsuskaitsepoliitika kujundamine, rakendamine</t>
  </si>
  <si>
    <t>muudetud peale auditi lõppu</t>
  </si>
  <si>
    <t>Muutus lisaeelarve seadusega</t>
  </si>
  <si>
    <t>E-hääletamise ja m-hääletamise ettevalmistamine ja jätkusuutlikkuse tagamine</t>
  </si>
  <si>
    <t>Küberturbe meetmete tõhustamine</t>
  </si>
  <si>
    <t>Laiapindse riigikaitse, sh elanikkonnakaitse strateegilise kommunikatsiooni arendamine</t>
  </si>
  <si>
    <t>Energiasäästumeetme rakendamine</t>
  </si>
  <si>
    <t>IKT küberturvalisuse kulud</t>
  </si>
  <si>
    <t>IT-tegevuskulud</t>
  </si>
  <si>
    <t>Elektri jaotusvõrkude kliimakindluse suurendamine</t>
  </si>
  <si>
    <t>Ministeeriumite ümberkorraldamise projektide teostamine</t>
  </si>
  <si>
    <t>IKT küberturvalisuse projektide teostamine</t>
  </si>
  <si>
    <t>Riigilaevastiku kulud ja investeeringud</t>
  </si>
  <si>
    <t>Jäämurdetööd ja talvine navigatsioon</t>
  </si>
  <si>
    <t>Rahvusvahelise kaitse saatjate ja ajutise kaitse saajate kohanemisprogramm, eesti keele õpe</t>
  </si>
  <si>
    <t>Eesti Rahvusringhäälingu IKT küberturvalisuse kulud</t>
  </si>
  <si>
    <t>Digiühiskonna tulemusvaldkonna kulud ja investeeringud</t>
  </si>
  <si>
    <t>Laiapindse riigikaitse, sh elanikkonnakaitse arendamine</t>
  </si>
  <si>
    <t>Küberkaitse ja digiriigiga seotud ürituste ja kohtumiste korraldamine ja kohtukulud</t>
  </si>
  <si>
    <t>Ukraina sõjapõgenike rahvastikutoimingud</t>
  </si>
  <si>
    <t>IKT kübertuvalisuse kulud</t>
  </si>
  <si>
    <t>Sise- ja välisveebi kaasajastamine</t>
  </si>
  <si>
    <t>Elutähtsa teenuse osutajate toimepidevuse direktiivi rakendamine</t>
  </si>
  <si>
    <t>Kontorihoone energiatõhustustööd</t>
  </si>
  <si>
    <t>Laiapindse riigikaitse tegevuskulud</t>
  </si>
  <si>
    <t>Rahapesu vastase võitluse tegevused</t>
  </si>
  <si>
    <t>Teadusuuringud</t>
  </si>
  <si>
    <t>Elutähtsa teenuse osutajate toimepidevuse direktiivi rakendamiseks töötamise registri arendamine</t>
  </si>
  <si>
    <t>Laiapindse riigikaitse, sh elanikkonnakaitse arendamise kulud ja investeeringud</t>
  </si>
  <si>
    <t>Idapiiri väljaehitamine ja taristu investeeringud</t>
  </si>
  <si>
    <t>Ukraina sõjapõgenikega seotud kulud</t>
  </si>
  <si>
    <t>Elutähtsa teenuse toimepidavuse direktiivi rakendamine</t>
  </si>
  <si>
    <t>Ukraina sõjapõgenimega seotud kulud</t>
  </si>
  <si>
    <t>Tervishoiuvaru haldamine ja tervishoiuteenuste osutajate kriisitoimepidevuse tõstmine</t>
  </si>
  <si>
    <t>Venemaa, Aasia ja Arktika suunalised rakendusuuringud ja diplomaatia ajaloo uurimine</t>
  </si>
  <si>
    <t>IKT küberturvalisuse kulud ja investeeringud</t>
  </si>
  <si>
    <t>Reisiparvlaev Estonia õnnetuse uute asjaolude hindamine</t>
  </si>
  <si>
    <t>Sigade Aafrika katku tõrjeabinõude ja taudikollete likvideerimine</t>
  </si>
  <si>
    <t>Ühistranspordi arendamine ja soodustamine</t>
  </si>
  <si>
    <t>Omandireformi käigus tagastatud ehitismälestiste hooldus, remont, konserveerimine, taastamine</t>
  </si>
  <si>
    <t>RAS Agrotarve aktsiate erastamisega seotud võla hüvitamine kohtuotsuse alusel</t>
  </si>
  <si>
    <t>Tallinna LV omandi- ja maareformi menetlustoimikute arhiveerimine</t>
  </si>
  <si>
    <t>108,55,456,96,248</t>
  </si>
  <si>
    <t>vv kor 28.04.2019 150000; vv kor 11.02.2021 nr 55 juurde 85000, vv kor 456 juurde 140 000 23.12.2021; vv kor 96 2022. a juurde 660 000.-; kor 248 2024. a juurde 22013.-</t>
  </si>
  <si>
    <t>34,456,62,248</t>
  </si>
  <si>
    <t>vv 248 2024. a juurde 30507,-</t>
  </si>
  <si>
    <t>Laekumine osaluse likvideerimisest</t>
  </si>
  <si>
    <t>mkm</t>
  </si>
  <si>
    <t>RETAs netosummas</t>
  </si>
  <si>
    <t>Osaluste laekumine</t>
  </si>
  <si>
    <t>osalused netosummas</t>
  </si>
  <si>
    <t>Osalused</t>
  </si>
  <si>
    <t>Tulem põhivarade ja varude müügist</t>
  </si>
  <si>
    <t>Majandustegevuse ja kodumaiste toetuste jäägid</t>
  </si>
  <si>
    <t>Saastekvootide müügist saadud vahendite jäägid</t>
  </si>
  <si>
    <t>REM 57.- ei ole maks</t>
  </si>
  <si>
    <t>Võlakirjade ja kaubeldavate aktsiate  ost</t>
  </si>
  <si>
    <t>Kindlustusfondidelt laekunud II samba väljamaksete eraldise muutus</t>
  </si>
  <si>
    <t>Kasum/kahjum võlakirjade ja aktsiate müügist</t>
  </si>
  <si>
    <t>101110</t>
  </si>
  <si>
    <t>Noteeritud aktsiad</t>
  </si>
  <si>
    <t>Muudetud peale auditi lõppu</t>
  </si>
  <si>
    <t>2024. a</t>
  </si>
  <si>
    <t>Korrigeerimine</t>
  </si>
  <si>
    <t>Riigi koondaruandes</t>
  </si>
  <si>
    <t>2023. a</t>
  </si>
  <si>
    <t>Kaitseministeeriumi tulude ja kulude korrigeerimine riigieelarve täitmise aruandes</t>
  </si>
  <si>
    <t>Kaitseministeeriumi investeeringute korrigeerimine riigieelarve täitmise aruandes</t>
  </si>
  <si>
    <t>sh põhivara soetus</t>
  </si>
  <si>
    <t>sh ettemaksete muutus</t>
  </si>
  <si>
    <t>sh käibemaksukulu</t>
  </si>
  <si>
    <t>kontroll</t>
  </si>
  <si>
    <t>Kaitseministeeriumi tulude ja kulude korrigeerimine riigieelarve täitmise aruandes, tuh eurot</t>
  </si>
  <si>
    <t>kk ok</t>
  </si>
  <si>
    <t>Viiakse RAM kk alusel üle VR reservi VV-le</t>
  </si>
  <si>
    <t>Märkus: Kui võtta laenukontodelt RV koodiga 21, siis tuleb summaks 236 104,33, siin võetud kulude kontodelt 605000-605020, REM vahe -2674,57, HTM vahe -6242,62</t>
  </si>
  <si>
    <t>sh 112 688 viidud JDMile</t>
  </si>
  <si>
    <t>RAM 30.06.2025 nr 48 sh VR 52 878 625; SR 19 672 544</t>
  </si>
  <si>
    <t>CO2 vahendite üleviimine</t>
  </si>
  <si>
    <t>2024-&gt;2025</t>
  </si>
  <si>
    <t>2023-&gt;2024</t>
  </si>
  <si>
    <t>2022-&gt;2023</t>
  </si>
  <si>
    <t>2021-&gt;2022</t>
  </si>
  <si>
    <t>2020-&gt;2021</t>
  </si>
  <si>
    <t>2019-&gt;2020</t>
  </si>
  <si>
    <t>2025. aasta riigieelarve täitmise arunne</t>
  </si>
  <si>
    <t>Täitmine 2025</t>
  </si>
  <si>
    <t>Maksutulude eelarve täitmine ja võrdlus tulemiaruandega 2025</t>
  </si>
  <si>
    <t>Tulemiaruande ja riigieelarve täitmise aruande võrdlus 2025</t>
  </si>
  <si>
    <t>Põhivara soetuse ja riigieelarve täitmise aruande võrdlus 2025</t>
  </si>
  <si>
    <t>Finantseerimistehingud 2025</t>
  </si>
  <si>
    <t>Sotsiaaltoetused</t>
  </si>
  <si>
    <t>Muud toetused</t>
  </si>
  <si>
    <t>Muud kulud, sh amortisatsioon</t>
  </si>
  <si>
    <t>Seaduses toodud kulude detailsem jaotus asutuste, majandusliku sisu ja liikide lõikes</t>
  </si>
  <si>
    <t>Sh piirmääraga kulud</t>
  </si>
  <si>
    <t>Sh arvestuslikud kulud</t>
  </si>
  <si>
    <t>Sh välistoetus koos riigieelarvelise kaasfinantseeringuga</t>
  </si>
  <si>
    <t>Sh muud tuludest sõltuvad kulud</t>
  </si>
  <si>
    <t>Sh amortisatioon</t>
  </si>
  <si>
    <t>Sh amortisatsioon</t>
  </si>
  <si>
    <t>Investeeringutoetused</t>
  </si>
  <si>
    <t>Justiits- ja Digiministeerium</t>
  </si>
  <si>
    <t>Sh edasiantavad maksud</t>
  </si>
  <si>
    <t>IN005000</t>
  </si>
  <si>
    <t>Programmi tegevus: Lõimumis-, sh kohanemispoliitika kujundamine ja rakendamine</t>
  </si>
  <si>
    <t>Programmi tegevus: Rahvuskaaslaste toetamine</t>
  </si>
  <si>
    <t>Tulemusvaldkond: KULTUUR JA SPORT</t>
  </si>
  <si>
    <t>Programmi tegevus: Kirjanduspoliitika kujundamine ja rakendamine</t>
  </si>
  <si>
    <t>Eesti Lastekirjanduse Keskus</t>
  </si>
  <si>
    <t xml:space="preserve">  Loovisikutele makstavad loometoetused</t>
  </si>
  <si>
    <t>Programmi tegevus: Etenduskunstide poliitika kujundamine ja rakendamine</t>
  </si>
  <si>
    <t>Programmi tegevus: Audiovisuaalpoliitika kujundamine ja rakendamine</t>
  </si>
  <si>
    <t>Programmi tegevus: Muusikapoliitika kujundamine ja rakendamine</t>
  </si>
  <si>
    <t>Programmi tegevus: Kunstipoliitika kujundamine ja rakendamine</t>
  </si>
  <si>
    <t>IN06S035</t>
  </si>
  <si>
    <t>Programmi tegevus: Arhitektuuri ja disaini poliitika kujundamine ning rakendamine</t>
  </si>
  <si>
    <t>Programmi tegevus: Meediapoliitika kujundamine ning rakendamine</t>
  </si>
  <si>
    <t>IN06A003</t>
  </si>
  <si>
    <t>Programmi tegevus: Raamatukogupoliitika kujundamine ning rakendamine</t>
  </si>
  <si>
    <t>IN002000,IN06A001</t>
  </si>
  <si>
    <t>Programmi tegevus: Rahvakultuuripoliitika kujundamine ja rakendamine</t>
  </si>
  <si>
    <t>Rahvakultuuri Keskus</t>
  </si>
  <si>
    <t>Programmi tegevus: Muuseumi- ja muinsuskaitsepoliitika kujundamine, rakendamine</t>
  </si>
  <si>
    <t>Muinsuskaitseamet</t>
  </si>
  <si>
    <t>Võru Instituut</t>
  </si>
  <si>
    <t>Eesti Rahva Muuseum</t>
  </si>
  <si>
    <t>Palamuse O. Lutsu Kihelkonnakoolimuuseum</t>
  </si>
  <si>
    <t>Viljandi Muuseum</t>
  </si>
  <si>
    <t>IN06M002,IN005000</t>
  </si>
  <si>
    <t>Programmi tegevus: Kultuurivaldkonna digiteerimine</t>
  </si>
  <si>
    <t>Programmi tegevus: Kultuurivaldkonna rahvusvahelistumise edendamine</t>
  </si>
  <si>
    <t>Programmi tegevus: Loomemajanduspoliitika kujundamine ja rakendamine</t>
  </si>
  <si>
    <t>Kultuuri valdkondadeülene arendamine</t>
  </si>
  <si>
    <t>Programmi tegevus: Kultuuri valdkondadeülene arendamine</t>
  </si>
  <si>
    <t>Programmi tegevus: Saavutusspordi toetamine ja arendamine</t>
  </si>
  <si>
    <t>IN006S009,IN06S014,IN005000</t>
  </si>
  <si>
    <t>Programmi tegevus: Ausa spordi ja sporditurvalisuse toetamine ning arendamine</t>
  </si>
  <si>
    <t>Programmi tegevus: Organiseeritud liikumisharrastuse edendamine</t>
  </si>
  <si>
    <t>2025. aastast 2026. aastasse üle kantud eelarve komponendid</t>
  </si>
  <si>
    <t>Muudatused 18.06.2025 lisaeelarve seaduse alusel</t>
  </si>
  <si>
    <t>KAISis 939 265</t>
  </si>
  <si>
    <t>jäägi üleviimist vähendatud VV 24.09.2025 otsusega 15 tuh euro võrra, tagastatud reservi</t>
  </si>
  <si>
    <t>liik 43 muutus 1640</t>
  </si>
  <si>
    <t>sh kk MKMile 2 425 989.-, tulust sõltuv teistele 169762,9; parandus 164584,56</t>
  </si>
  <si>
    <t>sh parandus välistoetused -19741,5-2001,96</t>
  </si>
  <si>
    <t>sh MKMile 116 679.- tulust sõltuv 433 032,63</t>
  </si>
  <si>
    <t>sh JDMile 19 253 571, sh REMilt 2 425 989; SOMilt 116 679; tulust sõltuv teistele 9 265 425,6 ja 1 214 470,96; parandus -113522,04 ei kuulunud ülekandmisele</t>
  </si>
  <si>
    <t>sh MKMilt 19 253 571; tulust sõltuv  9435188,50 ja 1647 503,59</t>
  </si>
  <si>
    <t>Kasutatud 2025</t>
  </si>
  <si>
    <t>Sihtotstarbelise reservi kasutamine 2025. a</t>
  </si>
  <si>
    <t>MKMilt</t>
  </si>
  <si>
    <t>REMilt</t>
  </si>
  <si>
    <t>Läbipääsuväravate soetus</t>
  </si>
  <si>
    <t>Krüptoseadme soetus</t>
  </si>
  <si>
    <t>Laiapindse riigikaitse tegevused</t>
  </si>
  <si>
    <t>Riigikaitse kriiside lahendamise tõhustamine ja strateegilise kommunikatsiooni suurendamine</t>
  </si>
  <si>
    <t>Ukraina sõjapõgenikest ülikoolide ja rakenduskõrgkoolide üliõpilaste õppetoetused</t>
  </si>
  <si>
    <t>Välistoetuste mitteabikõlblikud kulud</t>
  </si>
  <si>
    <t>Majandusjulgeoleku ja elutähtsate teenuste kulud</t>
  </si>
  <si>
    <t>Õigusemõistmise tagamine</t>
  </si>
  <si>
    <t>Laia riigikaitse, sh elanikkonnakaitse tegevuste arendamine</t>
  </si>
  <si>
    <t>Toetus ASile ALARA</t>
  </si>
  <si>
    <t>EL elutähtsa teenuse osutajate toimepidavuse tagamise direktiivi rakendamine</t>
  </si>
  <si>
    <t>Laiapindse riigikaitse investeeringud</t>
  </si>
  <si>
    <t>Avaandmete direktiivi ülevõtmine</t>
  </si>
  <si>
    <t>AS Eesti Raudtee tulude ja kulude tasakaalu tagamine</t>
  </si>
  <si>
    <t>Rahvusvaheliste liikmemaksude suurenemine</t>
  </si>
  <si>
    <t>Mehitamata õhusõidukite soetus, seire tõhustamine ja küttimise toetamine sigade Aafrika katku leviku tõkestamiseks</t>
  </si>
  <si>
    <t>Riigilaevastiku tegevuskulud ja investeeringud</t>
  </si>
  <si>
    <t>ERRi kulud laiapindse riigikaitse tagamiseks</t>
  </si>
  <si>
    <t>Eesti meeste korvpallikoondise Euroopa meistrivõistluste finaalturniiril osalemine</t>
  </si>
  <si>
    <t>Eesti Rahvusringhäälingu küberturvalisuse kulud</t>
  </si>
  <si>
    <t>Leiutasu</t>
  </si>
  <si>
    <t>Sõjapõgenike töövaidluste ennetamine ja tööalastest õigustest teadlikkuse tõstmine</t>
  </si>
  <si>
    <t>Nimemärgiste registri loomine ja järelevalveandmebaasi kasutuslitsentsi soetamine</t>
  </si>
  <si>
    <t>Küberturvalisuse tugevdamine</t>
  </si>
  <si>
    <t>Ühistranspordi dotatsiooni puudujäägi katmine</t>
  </si>
  <si>
    <t>Varustuskindluse pilootprojekti väljatöötamine</t>
  </si>
  <si>
    <t>Põllumajandustootjatele suu- ja sõrataudi bioohutusnõuete täitmiseks</t>
  </si>
  <si>
    <t>Metssealiha konservide kokkuost ja transport</t>
  </si>
  <si>
    <t>Liikmemaksude kallinemine</t>
  </si>
  <si>
    <t>Laia riigikaitse  sanktsioonikuritegude menetlemine</t>
  </si>
  <si>
    <t>Siseturvalisuse fondide erimeetmete kaasrahastamine</t>
  </si>
  <si>
    <t>Laiapindse riigikaitse ja elanikkonnakaitse arendamine</t>
  </si>
  <si>
    <t>Ukraina sõjapõgenikega seotud tegevused</t>
  </si>
  <si>
    <t>Arraiolise tippkohtumise turvamine</t>
  </si>
  <si>
    <t>Hädaolukorra seaduse muutmine ja EL elutähtsate teenuste toimepidavuse tagamise direktiivi ülevõtmine</t>
  </si>
  <si>
    <t>Ukraina sõjapõgenikele tervishoiuteenuste osutamine</t>
  </si>
  <si>
    <t>Virtuaalse privaatvõrgu lahenduse kasutuselevõtmine</t>
  </si>
  <si>
    <t>Tervishoiu hädaolukordadeks ja riigikaitseks valmistumise korraldamine</t>
  </si>
  <si>
    <t>Rahvusvahelise Eesti keskuse ehituse toetamine Torontos</t>
  </si>
  <si>
    <t>Toetus Moldova Vabariigi tegevusteks</t>
  </si>
  <si>
    <t>Sidevõrkude laiendamine ja turbetaseme tõstmine</t>
  </si>
  <si>
    <t>Eesti kultuuripäevade korraldamise toetamine</t>
  </si>
  <si>
    <t>Vabariigi Valitsuse reservi kasutamine 2025. a</t>
  </si>
  <si>
    <t>President Rüütli matuste korraldamine</t>
  </si>
  <si>
    <t>Turvalisuse tagamine Balti riikide elektrisüsteemi desünkroniseerimisel Venemaa ja Valgevene ühendussüsteemist ning sünkroniseerimisel Mandri-Euroopa elektrivõrguga</t>
  </si>
  <si>
    <t>Sigade Aafrika katku tõrjeabinõud ja taudikollete likvideerimine</t>
  </si>
  <si>
    <t>IT-arendused laste eest mootorsõidukimaksu kohustuse vähendamise tõttu</t>
  </si>
  <si>
    <t>Maareformi elluviimine ja ettevõtluse arendamiseks vajaliku keskkonna ja tingimuste loomine</t>
  </si>
  <si>
    <t>Mõõdistuslennuki kapitaalremont</t>
  </si>
  <si>
    <t>Kokku SR ja VR</t>
  </si>
  <si>
    <t>Muudatused 03.12.2025 teise lisaeelarve seaduse alusel</t>
  </si>
  <si>
    <t>Mootorsõidukimaks</t>
  </si>
  <si>
    <t>JDM</t>
  </si>
  <si>
    <t>Investeeringutoetused ning seafarmide territooriumil ja ümbruses viibimiskeelu rakendamise kulude toetused</t>
  </si>
  <si>
    <t>Trichinella uuringukulud ja loomakorjuste nõuetekohase utiliseerimisvõimekuluse tõstmine, sh matmispaikade rajamine</t>
  </si>
  <si>
    <t>GPS häirete analüüsimiseks kasutatava tarkvara litsentsitasu, monitooringuvõrgu väljaehitamine ja monitooringujaama investeeringud</t>
  </si>
  <si>
    <t>Mootorsõidukimaksu seaduse muudatuste rakendamine</t>
  </si>
  <si>
    <t>EL digiteenuste määruse rakendamine</t>
  </si>
  <si>
    <t>Eesti kultuuri teadus- ja arendusprogrammi piloteerimine</t>
  </si>
  <si>
    <t>Finantseerimistegevuseks antud sihtfinantseerimise laekumine</t>
  </si>
  <si>
    <t>sisene maamaksu- ja mootorsõidukimaksu tulu</t>
  </si>
  <si>
    <t>Rahvusvahelised osalused</t>
  </si>
  <si>
    <t>Lisas a1 kajastatud riigiraamatupidamiskohustuslaste tulemiaruande võrdlus riigieelarve täitmise aruandega 2025</t>
  </si>
  <si>
    <t>32467,89 sisemine</t>
  </si>
  <si>
    <t>KAISis 14 431 450</t>
  </si>
  <si>
    <t>KAISis 4 736 051</t>
  </si>
  <si>
    <t>KAISis 5 147 249</t>
  </si>
  <si>
    <t>281867 sisene KUM ERMile</t>
  </si>
  <si>
    <t>KAISis 1 002 813</t>
  </si>
  <si>
    <t>KAISis 284 718,44</t>
  </si>
  <si>
    <t>KAISis 530105,89</t>
  </si>
  <si>
    <t>min kk 30.01 nr 19</t>
  </si>
  <si>
    <t>976 sisemine MKA ERMile</t>
  </si>
  <si>
    <t>Rahvakultuur ERMile</t>
  </si>
  <si>
    <t>Rahvakultuur Võru Instituudile</t>
  </si>
  <si>
    <t>RIB rida ei lisanud</t>
  </si>
  <si>
    <t>liidetud Muud toetused juurde päises</t>
  </si>
  <si>
    <t>sisemised</t>
  </si>
  <si>
    <t>976 sisesed tehingud</t>
  </si>
  <si>
    <t>3000 sisesed tehingud</t>
  </si>
  <si>
    <t>eelarve vähendus 24966,65</t>
  </si>
  <si>
    <t>eelarve vähenemine 190213,73</t>
  </si>
  <si>
    <t>sisemine</t>
  </si>
  <si>
    <t>RIB rida ei lisanud, ilmselt hüvitatud sõidukulud</t>
  </si>
  <si>
    <t>KAISis 1 539 461</t>
  </si>
  <si>
    <t>rib lisatud, sõidukulude hüvitis</t>
  </si>
  <si>
    <t>lõp ea</t>
  </si>
  <si>
    <t>täitmine</t>
  </si>
  <si>
    <t>jääk</t>
  </si>
  <si>
    <t>sisemised tehibngud</t>
  </si>
  <si>
    <t xml:space="preserve">Lisa 1. Lõpliku eelarve kujunemine </t>
  </si>
  <si>
    <t>Lisa 3. Eelarve täitmise ja raamatupidamisaruannete võrdlus</t>
  </si>
  <si>
    <t>Lisa 2. Kultuuriministeeriumi valitsemisala 2025.a. riigieelarve täitmise aruande lisa</t>
  </si>
  <si>
    <t>Kultuuriministeeriumi valitsemisala 2025. aasta riigieelarve täitmise arunne</t>
  </si>
  <si>
    <t>sisesed tehingud eelarve täitmise aruandes elimineerimata</t>
  </si>
  <si>
    <t>Raamatupidamisandmed 2025</t>
  </si>
  <si>
    <t>RE aruanne 2025</t>
  </si>
  <si>
    <t>Vahe 2025</t>
  </si>
  <si>
    <t>osaluste ümberhindlus</t>
  </si>
  <si>
    <t>Tuludest sõltuvate kulude tegelik limiit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</si>
</sst>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_-* #,##0.00\ _€_-;\-* #,##0.00\ _€_-;_-* &quot;-&quot;??\ _€_-;_-@_-"/>
    <numFmt numFmtId="167" formatCode="#,##0.00_ ;\-#,##0.00\ "/>
  </numFmts>
  <fonts count="60" x14ac:knownFonts="1">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b/>
      <sz val="12"/>
      <color theme="1"/>
      <name val="Times New Roman"/>
      <family val="1"/>
      <charset val="186"/>
    </font>
    <font>
      <sz val="11"/>
      <name val="Calibri"/>
      <family val="2"/>
      <charset val="186"/>
      <scheme val="minor"/>
    </font>
    <font>
      <sz val="12"/>
      <color theme="1"/>
      <name val="Times New Roman"/>
      <family val="1"/>
      <charset val="186"/>
    </font>
    <font>
      <b/>
      <sz val="12"/>
      <name val="Times New Roman"/>
      <family val="1"/>
      <charset val="186"/>
    </font>
    <font>
      <sz val="12"/>
      <name val="Times New Roman"/>
      <family val="1"/>
      <charset val="186"/>
    </font>
    <font>
      <sz val="12"/>
      <color rgb="FF0000FF"/>
      <name val="Times New Roman"/>
      <family val="1"/>
      <charset val="186"/>
    </font>
    <font>
      <b/>
      <sz val="12"/>
      <color rgb="FF0000FF"/>
      <name val="Times New Roman"/>
      <family val="1"/>
      <charset val="186"/>
    </font>
    <font>
      <sz val="10"/>
      <name val="Arial"/>
      <family val="2"/>
      <charset val="186"/>
    </font>
    <font>
      <sz val="12"/>
      <color theme="5" tint="-0.499984740745262"/>
      <name val="Times New Roman"/>
      <family val="1"/>
      <charset val="186"/>
    </font>
    <font>
      <b/>
      <sz val="12"/>
      <color theme="5" tint="-0.499984740745262"/>
      <name val="Times New Roman"/>
      <family val="1"/>
      <charset val="186"/>
    </font>
    <font>
      <b/>
      <sz val="10"/>
      <name val="Times New Roman"/>
      <family val="1"/>
      <charset val="186"/>
    </font>
    <font>
      <b/>
      <sz val="11"/>
      <color theme="1"/>
      <name val="Calibri"/>
      <family val="2"/>
      <charset val="186"/>
      <scheme val="minor"/>
    </font>
    <font>
      <b/>
      <sz val="8"/>
      <name val="Arial"/>
      <family val="2"/>
      <charset val="186"/>
    </font>
    <font>
      <b/>
      <sz val="8"/>
      <name val="Cambria"/>
      <family val="1"/>
      <charset val="186"/>
    </font>
    <font>
      <sz val="8"/>
      <name val="Arial"/>
      <family val="2"/>
      <charset val="186"/>
    </font>
    <font>
      <sz val="8"/>
      <name val="Cambria"/>
      <family val="1"/>
      <charset val="186"/>
    </font>
    <font>
      <sz val="8"/>
      <color theme="1"/>
      <name val="Cambria"/>
      <family val="1"/>
      <charset val="186"/>
    </font>
    <font>
      <sz val="10"/>
      <name val="Times New Roman"/>
      <family val="1"/>
      <charset val="186"/>
    </font>
    <font>
      <b/>
      <sz val="8"/>
      <color theme="1"/>
      <name val="Cambria"/>
      <family val="1"/>
      <charset val="186"/>
    </font>
    <font>
      <b/>
      <sz val="11"/>
      <name val="Calibri"/>
      <family val="2"/>
      <charset val="186"/>
      <scheme val="minor"/>
    </font>
    <font>
      <sz val="9"/>
      <name val="Calibri"/>
      <family val="2"/>
      <charset val="186"/>
      <scheme val="minor"/>
    </font>
    <font>
      <b/>
      <sz val="9"/>
      <color theme="1"/>
      <name val="Calibri"/>
      <family val="2"/>
      <charset val="186"/>
      <scheme val="minor"/>
    </font>
    <font>
      <b/>
      <sz val="9"/>
      <color theme="1"/>
      <name val="Cambria"/>
      <family val="1"/>
      <charset val="186"/>
    </font>
    <font>
      <sz val="10"/>
      <color theme="1"/>
      <name val="Calibri"/>
      <family val="2"/>
      <charset val="186"/>
      <scheme val="minor"/>
    </font>
    <font>
      <sz val="9"/>
      <color theme="1"/>
      <name val="Calibri"/>
      <family val="2"/>
      <charset val="186"/>
      <scheme val="minor"/>
    </font>
    <font>
      <sz val="10"/>
      <color theme="1"/>
      <name val="Times New Roman"/>
      <family val="1"/>
      <charset val="186"/>
    </font>
    <font>
      <sz val="8"/>
      <color theme="1"/>
      <name val="Calibri"/>
      <family val="2"/>
      <charset val="186"/>
      <scheme val="minor"/>
    </font>
    <font>
      <b/>
      <sz val="9"/>
      <color rgb="FF000000"/>
      <name val="Arial"/>
      <family val="2"/>
      <charset val="186"/>
    </font>
    <font>
      <sz val="12"/>
      <color indexed="8"/>
      <name val="Arial"/>
      <family val="2"/>
      <charset val="186"/>
    </font>
    <font>
      <sz val="9"/>
      <color rgb="FF000000"/>
      <name val="Arial"/>
      <family val="2"/>
      <charset val="186"/>
    </font>
    <font>
      <sz val="9"/>
      <color indexed="8"/>
      <name val="Arial"/>
      <family val="2"/>
      <charset val="186"/>
    </font>
    <font>
      <b/>
      <sz val="11"/>
      <color rgb="FF000000"/>
      <name val="Calibri"/>
      <family val="2"/>
      <charset val="186"/>
      <scheme val="minor"/>
    </font>
    <font>
      <sz val="11"/>
      <color rgb="FF000000"/>
      <name val="Calibri"/>
      <family val="2"/>
      <charset val="186"/>
      <scheme val="minor"/>
    </font>
    <font>
      <sz val="10"/>
      <name val="Tahoma"/>
      <family val="2"/>
      <charset val="186"/>
    </font>
    <font>
      <sz val="9"/>
      <color theme="1"/>
      <name val="Cambria"/>
      <family val="1"/>
      <charset val="186"/>
    </font>
    <font>
      <b/>
      <sz val="9"/>
      <color rgb="FF000000"/>
      <name val="Cambria"/>
      <family val="1"/>
      <charset val="186"/>
    </font>
    <font>
      <sz val="9"/>
      <color rgb="FF000000"/>
      <name val="Cambria"/>
      <family val="1"/>
      <charset val="186"/>
    </font>
    <font>
      <sz val="9"/>
      <name val="Arial"/>
      <family val="2"/>
      <charset val="186"/>
    </font>
    <font>
      <sz val="9"/>
      <color rgb="FF000000"/>
      <name val="Arial"/>
      <family val="2"/>
      <charset val="186"/>
    </font>
    <font>
      <sz val="9"/>
      <name val="Cambria"/>
      <family val="1"/>
      <charset val="186"/>
    </font>
    <font>
      <b/>
      <sz val="9"/>
      <name val="Cambria"/>
      <family val="1"/>
      <charset val="186"/>
    </font>
    <font>
      <sz val="9"/>
      <color indexed="8"/>
      <name val="Cambria"/>
      <family val="1"/>
      <charset val="186"/>
    </font>
    <font>
      <sz val="9"/>
      <color theme="1"/>
      <name val="Times New Roman"/>
      <family val="1"/>
      <charset val="186"/>
    </font>
    <font>
      <b/>
      <sz val="9"/>
      <color theme="1"/>
      <name val="Times New Roman"/>
      <family val="1"/>
      <charset val="186"/>
    </font>
    <font>
      <sz val="9"/>
      <color rgb="FF000000"/>
      <name val="Arial"/>
      <family val="2"/>
      <charset val="186"/>
    </font>
    <font>
      <sz val="9"/>
      <color rgb="FF000000"/>
      <name val="Arial"/>
      <family val="2"/>
      <charset val="186"/>
    </font>
    <font>
      <sz val="11"/>
      <color theme="1"/>
      <name val="Times New Roman"/>
      <family val="1"/>
      <charset val="186"/>
    </font>
    <font>
      <sz val="11"/>
      <color rgb="FF0070C0"/>
      <name val="Calibri"/>
      <family val="2"/>
      <charset val="186"/>
      <scheme val="minor"/>
    </font>
    <font>
      <sz val="12"/>
      <color rgb="FFFF0000"/>
      <name val="Times New Roman"/>
      <family val="1"/>
      <charset val="186"/>
    </font>
    <font>
      <sz val="8"/>
      <name val="Calibri"/>
      <family val="2"/>
      <charset val="186"/>
      <scheme val="minor"/>
    </font>
    <font>
      <sz val="11"/>
      <color theme="0"/>
      <name val="Calibri"/>
      <family val="2"/>
      <charset val="186"/>
      <scheme val="minor"/>
    </font>
    <font>
      <sz val="11"/>
      <name val="Times New Roman"/>
      <family val="1"/>
      <charset val="186"/>
    </font>
    <font>
      <b/>
      <sz val="11"/>
      <name val="Times New Roman"/>
      <family val="1"/>
      <charset val="186"/>
    </font>
    <font>
      <sz val="10"/>
      <color theme="0"/>
      <name val="Times New Roman"/>
      <family val="1"/>
      <charset val="186"/>
    </font>
    <font>
      <sz val="10"/>
      <color theme="0"/>
      <name val="Arial"/>
      <family val="2"/>
      <charset val="186"/>
    </font>
    <font>
      <i/>
      <sz val="11"/>
      <name val="Times New Roman"/>
      <family val="1"/>
      <charset val="186"/>
    </font>
    <font>
      <i/>
      <sz val="11"/>
      <name val="Calibri"/>
      <family val="2"/>
      <charset val="186"/>
      <scheme val="minor"/>
    </font>
  </fonts>
  <fills count="8">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rgb="FFFFFFFF"/>
        <bgColor rgb="FFFFFFFF"/>
      </patternFill>
    </fill>
    <fill>
      <patternFill patternType="solid">
        <fgColor rgb="FFF0F0F4"/>
        <bgColor rgb="FFFFFFFF"/>
      </patternFill>
    </fill>
    <fill>
      <patternFill patternType="solid">
        <fgColor rgb="FFFFFF00"/>
        <bgColor rgb="FFFFFFFF"/>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auto="1"/>
      </top>
      <bottom style="thin">
        <color auto="1"/>
      </bottom>
      <diagonal/>
    </border>
    <border>
      <left style="thin">
        <color indexed="64"/>
      </left>
      <right style="thin">
        <color indexed="64"/>
      </right>
      <top/>
      <bottom style="thin">
        <color auto="1"/>
      </bottom>
      <diagonal/>
    </border>
    <border>
      <left style="thin">
        <color indexed="64"/>
      </left>
      <right/>
      <top style="thin">
        <color auto="1"/>
      </top>
      <bottom style="thin">
        <color auto="1"/>
      </bottom>
      <diagonal/>
    </border>
    <border>
      <left style="thin">
        <color indexed="64"/>
      </left>
      <right style="thin">
        <color indexed="64"/>
      </right>
      <top style="thin">
        <color indexed="64"/>
      </top>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indexed="64"/>
      </left>
      <right style="thin">
        <color indexed="64"/>
      </right>
      <top/>
      <bottom/>
      <diagonal/>
    </border>
    <border>
      <left style="thin">
        <color rgb="FFCAC9D9"/>
      </left>
      <right style="thin">
        <color rgb="FFCAC9D9"/>
      </right>
      <top style="thin">
        <color rgb="FFCAC9D9"/>
      </top>
      <bottom style="thin">
        <color rgb="FFCAC9D9"/>
      </bottom>
      <diagonal/>
    </border>
    <border>
      <left style="thin">
        <color indexed="31"/>
      </left>
      <right style="thin">
        <color indexed="31"/>
      </right>
      <top style="thin">
        <color indexed="31"/>
      </top>
      <bottom style="thin">
        <color indexed="31"/>
      </bottom>
      <diagonal/>
    </border>
    <border>
      <left style="thin">
        <color indexed="31"/>
      </left>
      <right style="thin">
        <color indexed="31"/>
      </right>
      <top/>
      <bottom/>
      <diagonal/>
    </border>
    <border>
      <left/>
      <right/>
      <top style="thin">
        <color auto="1"/>
      </top>
      <bottom style="thin">
        <color auto="1"/>
      </bottom>
      <diagonal/>
    </border>
    <border>
      <left style="thin">
        <color indexed="64"/>
      </left>
      <right/>
      <top style="thin">
        <color auto="1"/>
      </top>
      <bottom style="thin">
        <color auto="1"/>
      </bottom>
      <diagonal/>
    </border>
    <border>
      <left/>
      <right style="thin">
        <color indexed="64"/>
      </right>
      <top style="thin">
        <color auto="1"/>
      </top>
      <bottom style="thin">
        <color auto="1"/>
      </bottom>
      <diagonal/>
    </border>
  </borders>
  <cellStyleXfs count="8">
    <xf numFmtId="0" fontId="0" fillId="0" borderId="0"/>
    <xf numFmtId="0" fontId="10" fillId="0" borderId="0"/>
    <xf numFmtId="0" fontId="1" fillId="0" borderId="0"/>
    <xf numFmtId="0" fontId="1" fillId="0" borderId="0"/>
    <xf numFmtId="0" fontId="1" fillId="0" borderId="0"/>
    <xf numFmtId="0" fontId="10" fillId="0" borderId="0"/>
    <xf numFmtId="43" fontId="1" fillId="0" borderId="0" applyFont="0" applyFill="0" applyBorder="0" applyAlignment="0" applyProtection="0"/>
    <xf numFmtId="43" fontId="1" fillId="0" borderId="0" applyFont="0" applyFill="0" applyBorder="0" applyAlignment="0" applyProtection="0"/>
  </cellStyleXfs>
  <cellXfs count="297">
    <xf numFmtId="0" fontId="0" fillId="0" borderId="0" xfId="0"/>
    <xf numFmtId="3" fontId="4" fillId="0" borderId="0" xfId="0" applyNumberFormat="1" applyFont="1"/>
    <xf numFmtId="3" fontId="0" fillId="0" borderId="0" xfId="0" applyNumberFormat="1"/>
    <xf numFmtId="0" fontId="0" fillId="0" borderId="1" xfId="0" applyBorder="1"/>
    <xf numFmtId="3" fontId="0" fillId="0" borderId="1" xfId="0" applyNumberFormat="1" applyBorder="1"/>
    <xf numFmtId="3" fontId="5" fillId="0" borderId="1" xfId="0" applyNumberFormat="1" applyFont="1" applyBorder="1" applyAlignment="1">
      <alignment horizontal="right" vertical="center"/>
    </xf>
    <xf numFmtId="3" fontId="5" fillId="0" borderId="1" xfId="0" applyNumberFormat="1" applyFont="1" applyBorder="1" applyAlignment="1">
      <alignment horizontal="right"/>
    </xf>
    <xf numFmtId="3" fontId="7" fillId="0" borderId="1" xfId="2" applyNumberFormat="1" applyFont="1" applyBorder="1" applyAlignment="1" applyProtection="1">
      <alignment horizontal="right"/>
      <protection locked="0"/>
    </xf>
    <xf numFmtId="3" fontId="7" fillId="2" borderId="1" xfId="0" applyNumberFormat="1" applyFont="1" applyFill="1" applyBorder="1" applyAlignment="1">
      <alignment horizontal="right"/>
    </xf>
    <xf numFmtId="3" fontId="11" fillId="2" borderId="1" xfId="0" applyNumberFormat="1" applyFont="1" applyFill="1" applyBorder="1" applyAlignment="1">
      <alignment horizontal="right"/>
    </xf>
    <xf numFmtId="3" fontId="5" fillId="2" borderId="1" xfId="2" applyNumberFormat="1" applyFont="1" applyFill="1" applyBorder="1" applyAlignment="1" applyProtection="1">
      <alignment horizontal="right"/>
      <protection locked="0"/>
    </xf>
    <xf numFmtId="3" fontId="5" fillId="2" borderId="1" xfId="0" applyNumberFormat="1" applyFont="1" applyFill="1" applyBorder="1" applyAlignment="1">
      <alignment horizontal="right"/>
    </xf>
    <xf numFmtId="3" fontId="7" fillId="2" borderId="1" xfId="2" applyNumberFormat="1" applyFont="1" applyFill="1" applyBorder="1" applyAlignment="1" applyProtection="1">
      <alignment horizontal="right"/>
      <protection locked="0"/>
    </xf>
    <xf numFmtId="3" fontId="7" fillId="0" borderId="1" xfId="0" applyNumberFormat="1" applyFont="1" applyBorder="1" applyAlignment="1">
      <alignment horizontal="right"/>
    </xf>
    <xf numFmtId="3" fontId="8" fillId="0" borderId="1" xfId="0" applyNumberFormat="1" applyFont="1" applyBorder="1" applyAlignment="1">
      <alignment horizontal="right"/>
    </xf>
    <xf numFmtId="3" fontId="6" fillId="0" borderId="1" xfId="0" applyNumberFormat="1" applyFont="1" applyBorder="1" applyAlignment="1">
      <alignment horizontal="right"/>
    </xf>
    <xf numFmtId="3" fontId="7" fillId="0" borderId="1" xfId="3" applyNumberFormat="1" applyFont="1" applyBorder="1" applyAlignment="1" applyProtection="1">
      <alignment horizontal="right"/>
      <protection locked="0"/>
    </xf>
    <xf numFmtId="3" fontId="6" fillId="2" borderId="1" xfId="0" applyNumberFormat="1" applyFont="1" applyFill="1" applyBorder="1" applyAlignment="1">
      <alignment horizontal="right"/>
    </xf>
    <xf numFmtId="3" fontId="9" fillId="2" borderId="1" xfId="0" applyNumberFormat="1" applyFont="1" applyFill="1" applyBorder="1" applyAlignment="1">
      <alignment horizontal="right"/>
    </xf>
    <xf numFmtId="3" fontId="12" fillId="2" borderId="1" xfId="0" applyNumberFormat="1" applyFont="1" applyFill="1" applyBorder="1" applyAlignment="1">
      <alignment horizontal="right"/>
    </xf>
    <xf numFmtId="0" fontId="5" fillId="0" borderId="1" xfId="0" applyFont="1" applyBorder="1" applyAlignment="1">
      <alignment horizontal="center"/>
    </xf>
    <xf numFmtId="3" fontId="6" fillId="2" borderId="1" xfId="2" applyNumberFormat="1" applyFont="1" applyFill="1" applyBorder="1" applyAlignment="1" applyProtection="1">
      <alignment horizontal="right"/>
      <protection locked="0"/>
    </xf>
    <xf numFmtId="0" fontId="13" fillId="0" borderId="0" xfId="0" applyFont="1"/>
    <xf numFmtId="3" fontId="10" fillId="0" borderId="0" xfId="0" applyNumberFormat="1" applyFont="1"/>
    <xf numFmtId="4" fontId="10" fillId="0" borderId="0" xfId="0" applyNumberFormat="1" applyFont="1"/>
    <xf numFmtId="4" fontId="0" fillId="0" borderId="0" xfId="0" applyNumberFormat="1" applyAlignment="1">
      <alignment wrapText="1"/>
    </xf>
    <xf numFmtId="4" fontId="0" fillId="0" borderId="0" xfId="0" applyNumberFormat="1"/>
    <xf numFmtId="0" fontId="13" fillId="2" borderId="1" xfId="0" applyFont="1" applyFill="1" applyBorder="1" applyAlignment="1">
      <alignment vertical="top"/>
    </xf>
    <xf numFmtId="0" fontId="0" fillId="0" borderId="0" xfId="0" applyAlignment="1">
      <alignment horizontal="left"/>
    </xf>
    <xf numFmtId="4" fontId="0" fillId="0" borderId="0" xfId="0" applyNumberFormat="1" applyAlignment="1">
      <alignment horizontal="left"/>
    </xf>
    <xf numFmtId="4" fontId="4" fillId="0" borderId="0" xfId="0" applyNumberFormat="1" applyFont="1" applyAlignment="1">
      <alignment wrapText="1"/>
    </xf>
    <xf numFmtId="0" fontId="0" fillId="0" borderId="0" xfId="0" quotePrefix="1"/>
    <xf numFmtId="0" fontId="15" fillId="3" borderId="1" xfId="0" applyFont="1" applyFill="1" applyBorder="1" applyAlignment="1">
      <alignment wrapText="1"/>
    </xf>
    <xf numFmtId="4" fontId="15" fillId="3" borderId="1" xfId="0" applyNumberFormat="1" applyFont="1" applyFill="1" applyBorder="1" applyAlignment="1">
      <alignment wrapText="1"/>
    </xf>
    <xf numFmtId="0" fontId="16" fillId="3" borderId="1" xfId="0" applyFont="1" applyFill="1" applyBorder="1" applyAlignment="1">
      <alignment wrapText="1"/>
    </xf>
    <xf numFmtId="4" fontId="16" fillId="3" borderId="1" xfId="0" applyNumberFormat="1" applyFont="1" applyFill="1" applyBorder="1" applyAlignment="1">
      <alignment wrapText="1"/>
    </xf>
    <xf numFmtId="0" fontId="17" fillId="0" borderId="1" xfId="0" applyFont="1" applyBorder="1" applyAlignment="1">
      <alignment wrapText="1"/>
    </xf>
    <xf numFmtId="0" fontId="18" fillId="0" borderId="1" xfId="0" applyFont="1" applyBorder="1" applyAlignment="1">
      <alignment wrapText="1"/>
    </xf>
    <xf numFmtId="3" fontId="19" fillId="0" borderId="1" xfId="0" applyNumberFormat="1" applyFont="1" applyBorder="1"/>
    <xf numFmtId="3" fontId="20" fillId="0" borderId="1" xfId="0" applyNumberFormat="1" applyFont="1" applyBorder="1"/>
    <xf numFmtId="3" fontId="20" fillId="0" borderId="1" xfId="5" applyNumberFormat="1" applyFont="1" applyBorder="1"/>
    <xf numFmtId="0" fontId="15" fillId="0" borderId="1" xfId="0" applyFont="1" applyBorder="1" applyAlignment="1">
      <alignment wrapText="1"/>
    </xf>
    <xf numFmtId="3" fontId="15" fillId="0" borderId="1" xfId="0" applyNumberFormat="1" applyFont="1" applyBorder="1"/>
    <xf numFmtId="0" fontId="16" fillId="0" borderId="1" xfId="0" applyFont="1" applyBorder="1" applyAlignment="1">
      <alignment wrapText="1"/>
    </xf>
    <xf numFmtId="3" fontId="21" fillId="0" borderId="1" xfId="0" applyNumberFormat="1" applyFont="1" applyBorder="1"/>
    <xf numFmtId="0" fontId="20" fillId="0" borderId="0" xfId="0" applyFont="1"/>
    <xf numFmtId="0" fontId="10" fillId="0" borderId="0" xfId="0" quotePrefix="1" applyFont="1"/>
    <xf numFmtId="0" fontId="20" fillId="0" borderId="1" xfId="0" applyFont="1" applyBorder="1" applyAlignment="1">
      <alignment vertical="top"/>
    </xf>
    <xf numFmtId="3" fontId="20" fillId="0" borderId="1" xfId="0" applyNumberFormat="1" applyFont="1" applyBorder="1" applyAlignment="1">
      <alignment vertical="top"/>
    </xf>
    <xf numFmtId="0" fontId="13" fillId="0" borderId="1" xfId="0" applyFont="1" applyBorder="1" applyAlignment="1">
      <alignment vertical="top"/>
    </xf>
    <xf numFmtId="3" fontId="13" fillId="0" borderId="1" xfId="0" applyNumberFormat="1" applyFont="1" applyBorder="1" applyAlignment="1">
      <alignment vertical="top"/>
    </xf>
    <xf numFmtId="0" fontId="14" fillId="0" borderId="0" xfId="0" applyFont="1"/>
    <xf numFmtId="4" fontId="14" fillId="0" borderId="0" xfId="0" applyNumberFormat="1" applyFont="1"/>
    <xf numFmtId="4" fontId="0" fillId="0" borderId="1" xfId="0" applyNumberFormat="1" applyBorder="1"/>
    <xf numFmtId="0" fontId="0" fillId="0" borderId="1" xfId="0" applyBorder="1" applyAlignment="1">
      <alignment horizontal="left"/>
    </xf>
    <xf numFmtId="4" fontId="22" fillId="0" borderId="0" xfId="0" applyNumberFormat="1" applyFont="1"/>
    <xf numFmtId="4" fontId="23" fillId="0" borderId="5" xfId="0" applyNumberFormat="1" applyFont="1" applyBorder="1" applyAlignment="1">
      <alignment vertical="center"/>
    </xf>
    <xf numFmtId="4" fontId="4" fillId="0" borderId="1" xfId="0" applyNumberFormat="1" applyFont="1" applyBorder="1"/>
    <xf numFmtId="0" fontId="14" fillId="0" borderId="1" xfId="0" applyFont="1" applyBorder="1"/>
    <xf numFmtId="4" fontId="14" fillId="0" borderId="1" xfId="0" applyNumberFormat="1" applyFont="1" applyBorder="1"/>
    <xf numFmtId="0" fontId="0" fillId="0" borderId="6" xfId="0" applyBorder="1"/>
    <xf numFmtId="4" fontId="0" fillId="0" borderId="1" xfId="0" applyNumberFormat="1" applyBorder="1" applyAlignment="1">
      <alignment horizontal="center"/>
    </xf>
    <xf numFmtId="0" fontId="25" fillId="0" borderId="1" xfId="0" applyFont="1" applyBorder="1"/>
    <xf numFmtId="4" fontId="25" fillId="0" borderId="1" xfId="0" applyNumberFormat="1" applyFont="1" applyBorder="1" applyAlignment="1">
      <alignment horizontal="center"/>
    </xf>
    <xf numFmtId="0" fontId="22" fillId="0" borderId="0" xfId="0" applyFont="1"/>
    <xf numFmtId="4" fontId="0" fillId="2" borderId="0" xfId="0" applyNumberFormat="1" applyFill="1"/>
    <xf numFmtId="4" fontId="0" fillId="0" borderId="1" xfId="0" applyNumberFormat="1" applyBorder="1" applyAlignment="1">
      <alignment horizontal="right"/>
    </xf>
    <xf numFmtId="4" fontId="25" fillId="0" borderId="1" xfId="0" applyNumberFormat="1" applyFont="1" applyBorder="1"/>
    <xf numFmtId="4" fontId="26" fillId="0" borderId="0" xfId="0" applyNumberFormat="1" applyFont="1"/>
    <xf numFmtId="0" fontId="27" fillId="0" borderId="0" xfId="0" applyFont="1"/>
    <xf numFmtId="4" fontId="28" fillId="0" borderId="1" xfId="0" applyNumberFormat="1" applyFont="1" applyBorder="1" applyAlignment="1">
      <alignment horizontal="right" vertical="center"/>
    </xf>
    <xf numFmtId="0" fontId="27" fillId="0" borderId="1" xfId="0" applyFont="1" applyBorder="1" applyAlignment="1">
      <alignment horizontal="left"/>
    </xf>
    <xf numFmtId="0" fontId="29" fillId="0" borderId="1" xfId="0" applyFont="1" applyBorder="1" applyAlignment="1">
      <alignment horizontal="left"/>
    </xf>
    <xf numFmtId="4" fontId="26" fillId="0" borderId="1" xfId="0" applyNumberFormat="1" applyFont="1" applyBorder="1"/>
    <xf numFmtId="0" fontId="21" fillId="0" borderId="1" xfId="0" applyFont="1" applyBorder="1" applyAlignment="1">
      <alignment horizontal="left"/>
    </xf>
    <xf numFmtId="3" fontId="5" fillId="0" borderId="0" xfId="0" applyNumberFormat="1" applyFont="1" applyAlignment="1">
      <alignment horizontal="right" vertical="center"/>
    </xf>
    <xf numFmtId="4" fontId="27" fillId="0" borderId="0" xfId="0" applyNumberFormat="1" applyFont="1"/>
    <xf numFmtId="49" fontId="33" fillId="0" borderId="0" xfId="0" applyNumberFormat="1" applyFont="1" applyAlignment="1">
      <alignment horizontal="left"/>
    </xf>
    <xf numFmtId="4" fontId="33" fillId="2" borderId="0" xfId="0" applyNumberFormat="1" applyFont="1" applyFill="1" applyAlignment="1">
      <alignment horizontal="left"/>
    </xf>
    <xf numFmtId="4" fontId="33" fillId="0" borderId="0" xfId="0" applyNumberFormat="1" applyFont="1" applyAlignment="1">
      <alignment horizontal="left"/>
    </xf>
    <xf numFmtId="49" fontId="32" fillId="4" borderId="7" xfId="0" applyNumberFormat="1" applyFont="1" applyFill="1" applyBorder="1" applyAlignment="1">
      <alignment horizontal="left"/>
    </xf>
    <xf numFmtId="4" fontId="32" fillId="4" borderId="7" xfId="0" applyNumberFormat="1" applyFont="1" applyFill="1" applyBorder="1" applyAlignment="1">
      <alignment horizontal="right"/>
    </xf>
    <xf numFmtId="49" fontId="33" fillId="0" borderId="8" xfId="0" applyNumberFormat="1" applyFont="1" applyBorder="1" applyAlignment="1">
      <alignment horizontal="left"/>
    </xf>
    <xf numFmtId="49" fontId="33" fillId="0" borderId="9" xfId="0" applyNumberFormat="1" applyFont="1" applyBorder="1" applyAlignment="1">
      <alignment horizontal="left"/>
    </xf>
    <xf numFmtId="49" fontId="32" fillId="5" borderId="7" xfId="0" applyNumberFormat="1" applyFont="1" applyFill="1" applyBorder="1" applyAlignment="1">
      <alignment horizontal="left"/>
    </xf>
    <xf numFmtId="4" fontId="32" fillId="5" borderId="7" xfId="0" applyNumberFormat="1" applyFont="1" applyFill="1" applyBorder="1" applyAlignment="1">
      <alignment horizontal="right"/>
    </xf>
    <xf numFmtId="49" fontId="32" fillId="0" borderId="7" xfId="0" applyNumberFormat="1" applyFont="1" applyBorder="1" applyAlignment="1">
      <alignment horizontal="left"/>
    </xf>
    <xf numFmtId="0" fontId="34" fillId="0" borderId="0" xfId="0" applyFont="1" applyAlignment="1">
      <alignment horizontal="left" vertical="center"/>
    </xf>
    <xf numFmtId="4" fontId="22" fillId="0" borderId="0" xfId="0" applyNumberFormat="1" applyFont="1" applyAlignment="1">
      <alignment horizontal="right" vertical="center"/>
    </xf>
    <xf numFmtId="4" fontId="0" fillId="0" borderId="0" xfId="0" applyNumberFormat="1" applyAlignment="1">
      <alignment horizontal="right" vertical="center"/>
    </xf>
    <xf numFmtId="164" fontId="22" fillId="0" borderId="0" xfId="0" applyNumberFormat="1" applyFont="1" applyAlignment="1">
      <alignment horizontal="right" vertical="center"/>
    </xf>
    <xf numFmtId="3" fontId="0" fillId="0" borderId="0" xfId="0" applyNumberFormat="1" applyAlignment="1">
      <alignment horizontal="right" vertical="center"/>
    </xf>
    <xf numFmtId="0" fontId="35" fillId="0" borderId="1" xfId="0" applyFont="1" applyBorder="1" applyAlignment="1">
      <alignment horizontal="left" vertical="center"/>
    </xf>
    <xf numFmtId="4" fontId="4" fillId="0" borderId="1" xfId="0" applyNumberFormat="1" applyFont="1" applyBorder="1" applyAlignment="1">
      <alignment horizontal="right" vertical="center"/>
    </xf>
    <xf numFmtId="4" fontId="35" fillId="0" borderId="1" xfId="0" applyNumberFormat="1" applyFont="1" applyBorder="1" applyAlignment="1">
      <alignment horizontal="center" vertical="center" wrapText="1"/>
    </xf>
    <xf numFmtId="4" fontId="35" fillId="0" borderId="1" xfId="0" applyNumberFormat="1" applyFont="1" applyBorder="1" applyAlignment="1">
      <alignment horizontal="right" vertical="center"/>
    </xf>
    <xf numFmtId="164" fontId="0" fillId="0" borderId="1" xfId="0" applyNumberFormat="1" applyBorder="1"/>
    <xf numFmtId="0" fontId="34" fillId="0" borderId="1" xfId="0" applyFont="1" applyBorder="1" applyAlignment="1">
      <alignment horizontal="left" vertical="center"/>
    </xf>
    <xf numFmtId="4" fontId="34" fillId="0" borderId="1" xfId="0" applyNumberFormat="1" applyFont="1" applyBorder="1" applyAlignment="1">
      <alignment horizontal="right" vertical="center"/>
    </xf>
    <xf numFmtId="164" fontId="14" fillId="0" borderId="1" xfId="0" applyNumberFormat="1" applyFont="1" applyBorder="1"/>
    <xf numFmtId="4" fontId="33" fillId="0" borderId="1" xfId="0" applyNumberFormat="1" applyFont="1" applyBorder="1" applyAlignment="1">
      <alignment horizontal="right"/>
    </xf>
    <xf numFmtId="4" fontId="36" fillId="0" borderId="1" xfId="0" applyNumberFormat="1" applyFont="1" applyBorder="1"/>
    <xf numFmtId="164" fontId="0" fillId="0" borderId="0" xfId="0" applyNumberFormat="1"/>
    <xf numFmtId="4" fontId="4" fillId="0" borderId="1" xfId="0" applyNumberFormat="1" applyFont="1" applyBorder="1" applyAlignment="1">
      <alignment horizontal="center" vertical="center" wrapText="1"/>
    </xf>
    <xf numFmtId="0" fontId="0" fillId="0" borderId="1" xfId="2" applyFont="1" applyBorder="1" applyAlignment="1" applyProtection="1">
      <alignment horizontal="left" vertical="top"/>
      <protection locked="0"/>
    </xf>
    <xf numFmtId="4" fontId="4" fillId="0" borderId="1" xfId="2" applyNumberFormat="1" applyFont="1" applyBorder="1" applyAlignment="1" applyProtection="1">
      <alignment horizontal="right"/>
      <protection locked="0"/>
    </xf>
    <xf numFmtId="4" fontId="0" fillId="0" borderId="1" xfId="2" applyNumberFormat="1" applyFont="1" applyBorder="1" applyAlignment="1" applyProtection="1">
      <alignment horizontal="right"/>
      <protection locked="0"/>
    </xf>
    <xf numFmtId="164" fontId="0" fillId="0" borderId="1" xfId="2" applyNumberFormat="1" applyFont="1" applyBorder="1" applyAlignment="1" applyProtection="1">
      <alignment horizontal="right"/>
      <protection locked="0"/>
    </xf>
    <xf numFmtId="164" fontId="14" fillId="0" borderId="1" xfId="2" applyNumberFormat="1" applyFont="1" applyBorder="1" applyAlignment="1" applyProtection="1">
      <alignment horizontal="right"/>
      <protection locked="0"/>
    </xf>
    <xf numFmtId="4" fontId="0" fillId="0" borderId="1" xfId="2" applyNumberFormat="1" applyFont="1" applyBorder="1" applyAlignment="1" applyProtection="1">
      <alignment horizontal="right" vertical="top" wrapText="1"/>
      <protection locked="0"/>
    </xf>
    <xf numFmtId="4" fontId="14" fillId="0" borderId="1" xfId="2" applyNumberFormat="1" applyFont="1" applyBorder="1" applyAlignment="1" applyProtection="1">
      <alignment horizontal="right"/>
      <protection locked="0"/>
    </xf>
    <xf numFmtId="4" fontId="32" fillId="0" borderId="1" xfId="0" applyNumberFormat="1" applyFont="1" applyBorder="1" applyAlignment="1">
      <alignment horizontal="right"/>
    </xf>
    <xf numFmtId="4" fontId="32" fillId="6" borderId="1" xfId="0" applyNumberFormat="1" applyFont="1" applyFill="1" applyBorder="1" applyAlignment="1">
      <alignment horizontal="right"/>
    </xf>
    <xf numFmtId="4" fontId="0" fillId="2" borderId="1" xfId="0" applyNumberFormat="1" applyFill="1" applyBorder="1"/>
    <xf numFmtId="4" fontId="14" fillId="2" borderId="1" xfId="0" applyNumberFormat="1" applyFont="1" applyFill="1" applyBorder="1"/>
    <xf numFmtId="0" fontId="37" fillId="0" borderId="0" xfId="0" applyFont="1"/>
    <xf numFmtId="0" fontId="19" fillId="0" borderId="0" xfId="0" applyFont="1"/>
    <xf numFmtId="0" fontId="25" fillId="0" borderId="3" xfId="0" applyFont="1" applyBorder="1" applyAlignment="1">
      <alignment wrapText="1"/>
    </xf>
    <xf numFmtId="3" fontId="25" fillId="0" borderId="1" xfId="0" applyNumberFormat="1" applyFont="1" applyBorder="1" applyAlignment="1">
      <alignment horizontal="center" wrapText="1"/>
    </xf>
    <xf numFmtId="0" fontId="25" fillId="0" borderId="1" xfId="0" applyFont="1" applyBorder="1" applyAlignment="1">
      <alignment horizontal="center" wrapText="1"/>
    </xf>
    <xf numFmtId="0" fontId="21" fillId="0" borderId="3" xfId="0" applyFont="1" applyBorder="1" applyAlignment="1">
      <alignment wrapText="1"/>
    </xf>
    <xf numFmtId="3" fontId="21" fillId="0" borderId="1" xfId="0" applyNumberFormat="1" applyFont="1" applyBorder="1" applyAlignment="1">
      <alignment horizontal="center" wrapText="1"/>
    </xf>
    <xf numFmtId="0" fontId="21" fillId="0" borderId="1" xfId="0" applyFont="1" applyBorder="1" applyAlignment="1">
      <alignment horizontal="center" wrapText="1"/>
    </xf>
    <xf numFmtId="3" fontId="14" fillId="0" borderId="1" xfId="0" applyNumberFormat="1" applyFont="1" applyBorder="1"/>
    <xf numFmtId="3" fontId="25" fillId="0" borderId="1" xfId="0" applyNumberFormat="1" applyFont="1" applyBorder="1" applyAlignment="1">
      <alignment horizontal="center"/>
    </xf>
    <xf numFmtId="0" fontId="25" fillId="0" borderId="1" xfId="0" applyFont="1" applyBorder="1" applyAlignment="1">
      <alignment horizontal="center"/>
    </xf>
    <xf numFmtId="3" fontId="21" fillId="0" borderId="1" xfId="0" applyNumberFormat="1" applyFont="1" applyBorder="1" applyAlignment="1">
      <alignment horizontal="center"/>
    </xf>
    <xf numFmtId="0" fontId="21" fillId="0" borderId="1" xfId="0" applyFont="1" applyBorder="1" applyAlignment="1">
      <alignment horizontal="center"/>
    </xf>
    <xf numFmtId="3" fontId="35" fillId="0" borderId="1" xfId="0" applyNumberFormat="1" applyFont="1" applyBorder="1" applyAlignment="1">
      <alignment horizontal="right" vertical="center"/>
    </xf>
    <xf numFmtId="0" fontId="38" fillId="0" borderId="1" xfId="0" applyFont="1" applyBorder="1" applyAlignment="1">
      <alignment horizontal="left" vertical="center"/>
    </xf>
    <xf numFmtId="3" fontId="37" fillId="0" borderId="1" xfId="0" applyNumberFormat="1" applyFont="1" applyBorder="1"/>
    <xf numFmtId="0" fontId="39" fillId="0" borderId="1" xfId="0" applyFont="1" applyBorder="1" applyAlignment="1">
      <alignment horizontal="left" vertical="center"/>
    </xf>
    <xf numFmtId="3" fontId="0" fillId="0" borderId="1" xfId="0" applyNumberFormat="1" applyBorder="1" applyAlignment="1">
      <alignment horizontal="right" vertical="center"/>
    </xf>
    <xf numFmtId="3" fontId="25" fillId="0" borderId="1" xfId="0" applyNumberFormat="1" applyFont="1" applyBorder="1"/>
    <xf numFmtId="3" fontId="34" fillId="0" borderId="1" xfId="0" applyNumberFormat="1" applyFont="1" applyBorder="1" applyAlignment="1">
      <alignment horizontal="right" vertical="center"/>
    </xf>
    <xf numFmtId="165" fontId="0" fillId="0" borderId="0" xfId="0" applyNumberFormat="1"/>
    <xf numFmtId="0" fontId="21" fillId="0" borderId="1" xfId="0" applyFont="1" applyBorder="1"/>
    <xf numFmtId="0" fontId="37" fillId="0" borderId="1" xfId="0" applyFont="1" applyBorder="1"/>
    <xf numFmtId="0" fontId="19" fillId="0" borderId="1" xfId="0" applyFont="1" applyBorder="1"/>
    <xf numFmtId="0" fontId="40" fillId="3" borderId="4" xfId="0" applyFont="1" applyFill="1" applyBorder="1" applyAlignment="1">
      <alignment horizontal="center" wrapText="1"/>
    </xf>
    <xf numFmtId="0" fontId="40" fillId="3" borderId="2" xfId="0" applyFont="1" applyFill="1" applyBorder="1" applyAlignment="1">
      <alignment horizontal="center" wrapText="1"/>
    </xf>
    <xf numFmtId="4" fontId="0" fillId="3" borderId="1" xfId="0" applyNumberFormat="1" applyFill="1" applyBorder="1"/>
    <xf numFmtId="4" fontId="0" fillId="0" borderId="0" xfId="0" applyNumberFormat="1" applyAlignment="1">
      <alignment horizontal="right"/>
    </xf>
    <xf numFmtId="3" fontId="6" fillId="0" borderId="1" xfId="2" applyNumberFormat="1" applyFont="1" applyBorder="1" applyAlignment="1" applyProtection="1">
      <alignment horizontal="right"/>
      <protection locked="0"/>
    </xf>
    <xf numFmtId="3" fontId="5" fillId="0" borderId="1" xfId="2" applyNumberFormat="1" applyFont="1" applyBorder="1" applyAlignment="1" applyProtection="1">
      <alignment horizontal="right"/>
      <protection locked="0"/>
    </xf>
    <xf numFmtId="3" fontId="3" fillId="0" borderId="1" xfId="2" applyNumberFormat="1" applyFont="1" applyBorder="1" applyAlignment="1" applyProtection="1">
      <alignment horizontal="right"/>
      <protection locked="0"/>
    </xf>
    <xf numFmtId="0" fontId="1" fillId="0" borderId="0" xfId="4"/>
    <xf numFmtId="1" fontId="0" fillId="0" borderId="1" xfId="0" applyNumberFormat="1" applyBorder="1"/>
    <xf numFmtId="43" fontId="0" fillId="0" borderId="0" xfId="6" applyFont="1"/>
    <xf numFmtId="4" fontId="10" fillId="0" borderId="0" xfId="0" applyNumberFormat="1" applyFont="1" applyAlignment="1">
      <alignment horizontal="right"/>
    </xf>
    <xf numFmtId="4" fontId="0" fillId="0" borderId="0" xfId="0" applyNumberFormat="1" applyAlignment="1">
      <alignment horizontal="right" wrapText="1"/>
    </xf>
    <xf numFmtId="43" fontId="0" fillId="2" borderId="0" xfId="6" applyFont="1" applyFill="1"/>
    <xf numFmtId="0" fontId="0" fillId="0" borderId="0" xfId="0" applyAlignment="1">
      <alignment horizontal="right"/>
    </xf>
    <xf numFmtId="0" fontId="0" fillId="0" borderId="1" xfId="0" applyBorder="1" applyAlignment="1">
      <alignment horizontal="right"/>
    </xf>
    <xf numFmtId="0" fontId="25" fillId="0" borderId="1" xfId="0" applyFont="1" applyBorder="1" applyAlignment="1">
      <alignment horizontal="right"/>
    </xf>
    <xf numFmtId="4" fontId="41" fillId="4" borderId="7" xfId="0" applyNumberFormat="1" applyFont="1" applyFill="1" applyBorder="1" applyAlignment="1">
      <alignment horizontal="right"/>
    </xf>
    <xf numFmtId="49" fontId="41" fillId="5" borderId="7" xfId="0" applyNumberFormat="1" applyFont="1" applyFill="1" applyBorder="1" applyAlignment="1">
      <alignment horizontal="left"/>
    </xf>
    <xf numFmtId="3" fontId="15" fillId="3" borderId="1" xfId="0" applyNumberFormat="1" applyFont="1" applyFill="1" applyBorder="1" applyAlignment="1">
      <alignment wrapText="1"/>
    </xf>
    <xf numFmtId="0" fontId="25" fillId="0" borderId="1" xfId="0" applyFont="1" applyBorder="1" applyAlignment="1">
      <alignment horizontal="left"/>
    </xf>
    <xf numFmtId="0" fontId="25" fillId="0" borderId="11" xfId="2" applyFont="1" applyBorder="1" applyAlignment="1" applyProtection="1">
      <alignment horizontal="left"/>
      <protection locked="0"/>
    </xf>
    <xf numFmtId="0" fontId="37" fillId="0" borderId="11" xfId="2" applyFont="1" applyBorder="1" applyAlignment="1" applyProtection="1">
      <alignment horizontal="left"/>
      <protection locked="0"/>
    </xf>
    <xf numFmtId="0" fontId="25" fillId="0" borderId="11" xfId="1" applyFont="1" applyBorder="1" applyAlignment="1" applyProtection="1">
      <alignment horizontal="left"/>
      <protection locked="0"/>
    </xf>
    <xf numFmtId="0" fontId="37" fillId="2" borderId="1" xfId="0" applyFont="1" applyFill="1" applyBorder="1" applyAlignment="1">
      <alignment horizontal="center"/>
    </xf>
    <xf numFmtId="0" fontId="37" fillId="0" borderId="11" xfId="1" applyFont="1" applyBorder="1" applyAlignment="1" applyProtection="1">
      <alignment horizontal="left"/>
      <protection locked="0"/>
    </xf>
    <xf numFmtId="0" fontId="25" fillId="2" borderId="1" xfId="0" applyFont="1" applyFill="1" applyBorder="1" applyAlignment="1">
      <alignment horizontal="left"/>
    </xf>
    <xf numFmtId="3" fontId="25" fillId="2" borderId="1" xfId="0" applyNumberFormat="1" applyFont="1" applyFill="1" applyBorder="1" applyAlignment="1">
      <alignment horizontal="left"/>
    </xf>
    <xf numFmtId="0" fontId="37" fillId="2" borderId="1" xfId="0" applyFont="1" applyFill="1" applyBorder="1"/>
    <xf numFmtId="43" fontId="1" fillId="0" borderId="0" xfId="6" applyFont="1"/>
    <xf numFmtId="3" fontId="44" fillId="0" borderId="1" xfId="0" applyNumberFormat="1" applyFont="1" applyBorder="1" applyAlignment="1">
      <alignment horizontal="right"/>
    </xf>
    <xf numFmtId="3" fontId="39" fillId="0" borderId="0" xfId="0" applyNumberFormat="1" applyFont="1" applyAlignment="1">
      <alignment horizontal="right"/>
    </xf>
    <xf numFmtId="0" fontId="38" fillId="0" borderId="0" xfId="0" applyFont="1" applyAlignment="1">
      <alignment horizontal="left" vertical="center"/>
    </xf>
    <xf numFmtId="3" fontId="43" fillId="0" borderId="0" xfId="0" applyNumberFormat="1" applyFont="1" applyAlignment="1">
      <alignment horizontal="right" vertical="center"/>
    </xf>
    <xf numFmtId="3" fontId="37" fillId="0" borderId="0" xfId="0" applyNumberFormat="1" applyFont="1" applyAlignment="1">
      <alignment horizontal="right" vertical="center"/>
    </xf>
    <xf numFmtId="3" fontId="37" fillId="0" borderId="0" xfId="0" applyNumberFormat="1" applyFont="1"/>
    <xf numFmtId="3" fontId="42" fillId="0" borderId="1" xfId="0" applyNumberFormat="1" applyFont="1" applyBorder="1" applyAlignment="1">
      <alignment horizontal="right" vertical="center"/>
    </xf>
    <xf numFmtId="3" fontId="39" fillId="0" borderId="1" xfId="0" applyNumberFormat="1" applyFont="1" applyBorder="1" applyAlignment="1">
      <alignment horizontal="center" vertical="center" wrapText="1"/>
    </xf>
    <xf numFmtId="3" fontId="43" fillId="0" borderId="1" xfId="0" applyNumberFormat="1" applyFont="1" applyBorder="1" applyAlignment="1">
      <alignment horizontal="right" vertical="center"/>
    </xf>
    <xf numFmtId="4" fontId="37" fillId="0" borderId="1" xfId="0" applyNumberFormat="1" applyFont="1" applyBorder="1"/>
    <xf numFmtId="3" fontId="42" fillId="0" borderId="1" xfId="0" applyNumberFormat="1" applyFont="1" applyBorder="1"/>
    <xf numFmtId="4" fontId="37" fillId="0" borderId="0" xfId="0" applyNumberFormat="1" applyFont="1"/>
    <xf numFmtId="4" fontId="25" fillId="0" borderId="0" xfId="0" applyNumberFormat="1" applyFont="1"/>
    <xf numFmtId="3" fontId="42" fillId="0" borderId="1" xfId="0" applyNumberFormat="1" applyFont="1" applyBorder="1" applyAlignment="1">
      <alignment horizontal="center" vertical="center" wrapText="1"/>
    </xf>
    <xf numFmtId="0" fontId="37" fillId="0" borderId="1" xfId="2" applyFont="1" applyBorder="1" applyAlignment="1" applyProtection="1">
      <alignment horizontal="left" vertical="top"/>
      <protection locked="0"/>
    </xf>
    <xf numFmtId="3" fontId="37" fillId="0" borderId="0" xfId="2" applyNumberFormat="1" applyFont="1" applyAlignment="1" applyProtection="1">
      <alignment horizontal="right"/>
      <protection locked="0"/>
    </xf>
    <xf numFmtId="3" fontId="42" fillId="0" borderId="0" xfId="2" applyNumberFormat="1" applyFont="1" applyAlignment="1" applyProtection="1">
      <alignment horizontal="right"/>
      <protection locked="0"/>
    </xf>
    <xf numFmtId="3" fontId="42" fillId="0" borderId="0" xfId="0" applyNumberFormat="1" applyFont="1" applyAlignment="1">
      <alignment horizontal="right" vertical="center"/>
    </xf>
    <xf numFmtId="0" fontId="37" fillId="0" borderId="0" xfId="4" applyFont="1"/>
    <xf numFmtId="0" fontId="25" fillId="0" borderId="0" xfId="0" applyFont="1"/>
    <xf numFmtId="0" fontId="27" fillId="0" borderId="1" xfId="0" applyFont="1" applyBorder="1"/>
    <xf numFmtId="0" fontId="25" fillId="2" borderId="1" xfId="0" applyFont="1" applyFill="1" applyBorder="1"/>
    <xf numFmtId="3" fontId="27" fillId="0" borderId="1" xfId="0" applyNumberFormat="1" applyFont="1" applyBorder="1"/>
    <xf numFmtId="166" fontId="0" fillId="0" borderId="0" xfId="0" applyNumberFormat="1"/>
    <xf numFmtId="4" fontId="24" fillId="0" borderId="0" xfId="0" applyNumberFormat="1" applyFont="1"/>
    <xf numFmtId="4" fontId="13" fillId="2" borderId="1" xfId="0" applyNumberFormat="1" applyFont="1" applyFill="1" applyBorder="1" applyAlignment="1">
      <alignment vertical="top"/>
    </xf>
    <xf numFmtId="4" fontId="0" fillId="3" borderId="3" xfId="0" applyNumberFormat="1" applyFill="1" applyBorder="1" applyAlignment="1">
      <alignment horizontal="left"/>
    </xf>
    <xf numFmtId="43" fontId="14" fillId="0" borderId="0" xfId="6" applyFont="1"/>
    <xf numFmtId="0" fontId="45" fillId="0" borderId="1" xfId="2" applyFont="1" applyBorder="1" applyAlignment="1" applyProtection="1">
      <alignment horizontal="left"/>
      <protection locked="0"/>
    </xf>
    <xf numFmtId="0" fontId="3" fillId="0" borderId="0" xfId="0" applyFont="1"/>
    <xf numFmtId="3" fontId="5" fillId="0" borderId="0" xfId="0" applyNumberFormat="1" applyFont="1"/>
    <xf numFmtId="3" fontId="4" fillId="0" borderId="1" xfId="0" applyNumberFormat="1" applyFont="1" applyBorder="1"/>
    <xf numFmtId="3" fontId="5" fillId="0" borderId="1" xfId="0" applyNumberFormat="1" applyFont="1" applyBorder="1"/>
    <xf numFmtId="0" fontId="3" fillId="0" borderId="1" xfId="0" applyFont="1" applyBorder="1" applyAlignment="1">
      <alignment horizontal="left"/>
    </xf>
    <xf numFmtId="0" fontId="5" fillId="0" borderId="1" xfId="0" applyFont="1" applyBorder="1" applyAlignment="1">
      <alignment horizontal="left"/>
    </xf>
    <xf numFmtId="3" fontId="3" fillId="0" borderId="1" xfId="0" applyNumberFormat="1" applyFont="1" applyBorder="1"/>
    <xf numFmtId="0" fontId="3" fillId="0" borderId="1" xfId="2" applyFont="1" applyBorder="1" applyAlignment="1" applyProtection="1">
      <alignment horizontal="left"/>
      <protection locked="0"/>
    </xf>
    <xf numFmtId="0" fontId="5" fillId="0" borderId="1" xfId="2" applyFont="1" applyBorder="1" applyAlignment="1" applyProtection="1">
      <alignment horizontal="left"/>
      <protection locked="0"/>
    </xf>
    <xf numFmtId="0" fontId="7" fillId="0" borderId="1" xfId="2" applyFont="1" applyBorder="1" applyAlignment="1" applyProtection="1">
      <alignment horizontal="center"/>
      <protection locked="0"/>
    </xf>
    <xf numFmtId="0" fontId="3" fillId="0" borderId="1" xfId="1" applyFont="1" applyBorder="1" applyAlignment="1" applyProtection="1">
      <alignment horizontal="left"/>
      <protection locked="0"/>
    </xf>
    <xf numFmtId="0" fontId="5" fillId="2" borderId="1" xfId="0" applyFont="1" applyFill="1" applyBorder="1" applyAlignment="1">
      <alignment horizontal="center"/>
    </xf>
    <xf numFmtId="0" fontId="5" fillId="2" borderId="1" xfId="0" applyFont="1" applyFill="1" applyBorder="1"/>
    <xf numFmtId="0" fontId="5" fillId="0" borderId="1" xfId="1" applyFont="1" applyBorder="1" applyAlignment="1" applyProtection="1">
      <alignment horizontal="left"/>
      <protection locked="0"/>
    </xf>
    <xf numFmtId="0" fontId="5" fillId="0" borderId="1" xfId="0" applyFont="1" applyBorder="1"/>
    <xf numFmtId="0" fontId="3" fillId="2" borderId="1" xfId="0" applyFont="1" applyFill="1" applyBorder="1" applyAlignment="1">
      <alignment horizontal="left"/>
    </xf>
    <xf numFmtId="3" fontId="3" fillId="2" borderId="1" xfId="0" applyNumberFormat="1" applyFont="1" applyFill="1" applyBorder="1" applyAlignment="1">
      <alignment horizontal="right"/>
    </xf>
    <xf numFmtId="3" fontId="3" fillId="2" borderId="1" xfId="0" applyNumberFormat="1" applyFont="1" applyFill="1" applyBorder="1" applyAlignment="1">
      <alignment horizontal="left"/>
    </xf>
    <xf numFmtId="0" fontId="5" fillId="2" borderId="1" xfId="2" applyFont="1" applyFill="1" applyBorder="1" applyAlignment="1" applyProtection="1">
      <alignment horizontal="left"/>
      <protection locked="0"/>
    </xf>
    <xf numFmtId="0" fontId="3" fillId="0" borderId="1" xfId="4" applyFont="1" applyBorder="1" applyAlignment="1" applyProtection="1">
      <alignment horizontal="left"/>
      <protection locked="0"/>
    </xf>
    <xf numFmtId="0" fontId="3" fillId="0" borderId="1" xfId="0" applyFont="1" applyBorder="1"/>
    <xf numFmtId="0" fontId="7" fillId="0" borderId="1" xfId="2" applyFont="1" applyBorder="1" applyAlignment="1" applyProtection="1">
      <alignment horizontal="left"/>
      <protection locked="0"/>
    </xf>
    <xf numFmtId="0" fontId="5" fillId="0" borderId="1" xfId="4" applyFont="1" applyBorder="1" applyAlignment="1" applyProtection="1">
      <alignment horizontal="center"/>
      <protection locked="0"/>
    </xf>
    <xf numFmtId="0" fontId="5" fillId="0" borderId="1" xfId="0" applyFont="1" applyBorder="1" applyAlignment="1" applyProtection="1">
      <alignment vertical="top"/>
      <protection locked="0"/>
    </xf>
    <xf numFmtId="0" fontId="5" fillId="0" borderId="1" xfId="0" applyFont="1" applyBorder="1" applyAlignment="1" applyProtection="1">
      <alignment horizontal="left" vertical="top" indent="3"/>
      <protection locked="0"/>
    </xf>
    <xf numFmtId="3" fontId="45" fillId="0" borderId="1" xfId="0" applyNumberFormat="1" applyFont="1" applyBorder="1"/>
    <xf numFmtId="0" fontId="46" fillId="0" borderId="1" xfId="0" applyFont="1" applyBorder="1"/>
    <xf numFmtId="0" fontId="46" fillId="0" borderId="1" xfId="0" applyFont="1" applyBorder="1" applyAlignment="1">
      <alignment horizontal="left"/>
    </xf>
    <xf numFmtId="0" fontId="45" fillId="0" borderId="1" xfId="0" applyFont="1" applyBorder="1" applyProtection="1">
      <protection locked="0"/>
    </xf>
    <xf numFmtId="0" fontId="7" fillId="0" borderId="1" xfId="0" applyFont="1" applyBorder="1" applyAlignment="1" applyProtection="1">
      <alignment vertical="top"/>
      <protection locked="0"/>
    </xf>
    <xf numFmtId="0" fontId="37" fillId="0" borderId="11" xfId="2" applyFont="1" applyBorder="1" applyProtection="1">
      <protection locked="0"/>
    </xf>
    <xf numFmtId="0" fontId="25" fillId="0" borderId="11" xfId="4" applyFont="1" applyBorder="1" applyProtection="1">
      <protection locked="0"/>
    </xf>
    <xf numFmtId="0" fontId="0" fillId="0" borderId="1" xfId="0" applyBorder="1" applyAlignment="1" applyProtection="1">
      <alignment vertical="top"/>
      <protection locked="0"/>
    </xf>
    <xf numFmtId="167" fontId="0" fillId="0" borderId="1" xfId="6" applyNumberFormat="1" applyFont="1" applyBorder="1"/>
    <xf numFmtId="0" fontId="17" fillId="0" borderId="6" xfId="0" applyFont="1" applyBorder="1"/>
    <xf numFmtId="0" fontId="4" fillId="0" borderId="1" xfId="0" applyFont="1" applyBorder="1"/>
    <xf numFmtId="3" fontId="19" fillId="0" borderId="6" xfId="0" applyNumberFormat="1" applyFont="1" applyBorder="1"/>
    <xf numFmtId="4" fontId="0" fillId="0" borderId="1" xfId="0" quotePrefix="1" applyNumberFormat="1" applyBorder="1"/>
    <xf numFmtId="4" fontId="47" fillId="5" borderId="7" xfId="0" applyNumberFormat="1" applyFont="1" applyFill="1" applyBorder="1" applyAlignment="1">
      <alignment horizontal="right"/>
    </xf>
    <xf numFmtId="4" fontId="47" fillId="4" borderId="7" xfId="0" applyNumberFormat="1" applyFont="1" applyFill="1" applyBorder="1" applyAlignment="1">
      <alignment horizontal="right"/>
    </xf>
    <xf numFmtId="4" fontId="14" fillId="2" borderId="0" xfId="0" applyNumberFormat="1" applyFont="1" applyFill="1"/>
    <xf numFmtId="3" fontId="0" fillId="0" borderId="0" xfId="6" applyNumberFormat="1" applyFont="1"/>
    <xf numFmtId="3" fontId="2" fillId="0" borderId="0" xfId="0" applyNumberFormat="1" applyFont="1"/>
    <xf numFmtId="4" fontId="48" fillId="4" borderId="7" xfId="0" applyNumberFormat="1" applyFont="1" applyFill="1" applyBorder="1" applyAlignment="1">
      <alignment horizontal="right"/>
    </xf>
    <xf numFmtId="4" fontId="48" fillId="5" borderId="7" xfId="0" applyNumberFormat="1" applyFont="1" applyFill="1" applyBorder="1" applyAlignment="1">
      <alignment horizontal="right"/>
    </xf>
    <xf numFmtId="4" fontId="16" fillId="3" borderId="6" xfId="0" applyNumberFormat="1" applyFont="1" applyFill="1" applyBorder="1" applyAlignment="1">
      <alignment wrapText="1"/>
    </xf>
    <xf numFmtId="0" fontId="0" fillId="2" borderId="0" xfId="0" applyFill="1"/>
    <xf numFmtId="165" fontId="0" fillId="2" borderId="0" xfId="0" applyNumberFormat="1" applyFill="1"/>
    <xf numFmtId="165" fontId="27" fillId="0" borderId="0" xfId="0" applyNumberFormat="1" applyFont="1"/>
    <xf numFmtId="3" fontId="27" fillId="0" borderId="0" xfId="0" applyNumberFormat="1" applyFont="1"/>
    <xf numFmtId="0" fontId="49" fillId="0" borderId="1" xfId="0" applyFont="1" applyBorder="1"/>
    <xf numFmtId="4" fontId="4" fillId="0" borderId="0" xfId="0" applyNumberFormat="1" applyFont="1"/>
    <xf numFmtId="0" fontId="0" fillId="2" borderId="1" xfId="0" applyFill="1" applyBorder="1"/>
    <xf numFmtId="43" fontId="50" fillId="0" borderId="0" xfId="6" applyFont="1"/>
    <xf numFmtId="43" fontId="2" fillId="0" borderId="0" xfId="6" applyFont="1"/>
    <xf numFmtId="3" fontId="51" fillId="2" borderId="1" xfId="2" applyNumberFormat="1" applyFont="1" applyFill="1" applyBorder="1" applyAlignment="1" applyProtection="1">
      <alignment horizontal="right"/>
      <protection locked="0"/>
    </xf>
    <xf numFmtId="0" fontId="53" fillId="0" borderId="0" xfId="0" applyFont="1"/>
    <xf numFmtId="3" fontId="54" fillId="0" borderId="1" xfId="0" applyNumberFormat="1" applyFont="1" applyBorder="1"/>
    <xf numFmtId="3" fontId="55" fillId="0" borderId="1" xfId="0" applyNumberFormat="1" applyFont="1" applyBorder="1"/>
    <xf numFmtId="4" fontId="56" fillId="0" borderId="0" xfId="0" applyNumberFormat="1" applyFont="1" applyAlignment="1">
      <alignment vertical="top"/>
    </xf>
    <xf numFmtId="0" fontId="20" fillId="0" borderId="1" xfId="0" applyFont="1" applyBorder="1"/>
    <xf numFmtId="3" fontId="56" fillId="0" borderId="0" xfId="0" applyNumberFormat="1" applyFont="1"/>
    <xf numFmtId="3" fontId="57" fillId="0" borderId="0" xfId="0" applyNumberFormat="1" applyFont="1"/>
    <xf numFmtId="4" fontId="53" fillId="0" borderId="0" xfId="0" applyNumberFormat="1" applyFont="1" applyAlignment="1">
      <alignment horizontal="right" wrapText="1"/>
    </xf>
    <xf numFmtId="3" fontId="6" fillId="7" borderId="1" xfId="2" applyNumberFormat="1" applyFont="1" applyFill="1" applyBorder="1" applyAlignment="1" applyProtection="1">
      <alignment horizontal="left"/>
      <protection locked="0"/>
    </xf>
    <xf numFmtId="3" fontId="7" fillId="7" borderId="1" xfId="2" applyNumberFormat="1" applyFont="1" applyFill="1" applyBorder="1" applyAlignment="1" applyProtection="1">
      <alignment horizontal="center"/>
      <protection locked="0"/>
    </xf>
    <xf numFmtId="0" fontId="13" fillId="7" borderId="1" xfId="0" applyFont="1" applyFill="1" applyBorder="1" applyAlignment="1">
      <alignment vertical="top"/>
    </xf>
    <xf numFmtId="4" fontId="13" fillId="7" borderId="1" xfId="0" applyNumberFormat="1" applyFont="1" applyFill="1" applyBorder="1" applyAlignment="1">
      <alignment horizontal="center" vertical="top" wrapText="1"/>
    </xf>
    <xf numFmtId="43" fontId="4" fillId="0" borderId="0" xfId="6" applyFont="1"/>
    <xf numFmtId="0" fontId="42" fillId="0" borderId="0" xfId="0" applyFont="1"/>
    <xf numFmtId="0" fontId="4" fillId="0" borderId="0" xfId="0" applyFont="1"/>
    <xf numFmtId="0" fontId="55" fillId="0" borderId="0" xfId="0" applyFont="1"/>
    <xf numFmtId="0" fontId="54" fillId="0" borderId="0" xfId="0" applyFont="1"/>
    <xf numFmtId="3" fontId="54" fillId="0" borderId="0" xfId="0" applyNumberFormat="1" applyFont="1"/>
    <xf numFmtId="3" fontId="6" fillId="7" borderId="1" xfId="0" applyNumberFormat="1" applyFont="1" applyFill="1" applyBorder="1" applyAlignment="1">
      <alignment horizontal="center" wrapText="1"/>
    </xf>
    <xf numFmtId="0" fontId="6" fillId="0" borderId="1" xfId="0" applyFont="1" applyBorder="1" applyAlignment="1">
      <alignment horizontal="left"/>
    </xf>
    <xf numFmtId="0" fontId="54" fillId="0" borderId="1" xfId="0" applyFont="1" applyBorder="1"/>
    <xf numFmtId="0" fontId="55" fillId="0" borderId="1" xfId="0" applyFont="1" applyBorder="1"/>
    <xf numFmtId="3" fontId="6" fillId="0" borderId="1" xfId="0" applyNumberFormat="1" applyFont="1" applyBorder="1"/>
    <xf numFmtId="0" fontId="7" fillId="0" borderId="1" xfId="0" applyFont="1" applyBorder="1" applyAlignment="1">
      <alignment horizontal="left"/>
    </xf>
    <xf numFmtId="0" fontId="6" fillId="0" borderId="1" xfId="0" applyFont="1" applyBorder="1"/>
    <xf numFmtId="3" fontId="22" fillId="0" borderId="0" xfId="0" applyNumberFormat="1" applyFont="1"/>
    <xf numFmtId="0" fontId="58" fillId="0" borderId="1" xfId="0" applyFont="1" applyBorder="1"/>
    <xf numFmtId="3" fontId="58" fillId="0" borderId="1" xfId="0" applyNumberFormat="1" applyFont="1" applyBorder="1"/>
    <xf numFmtId="4" fontId="59" fillId="0" borderId="0" xfId="0" applyNumberFormat="1" applyFont="1"/>
    <xf numFmtId="0" fontId="59" fillId="0" borderId="0" xfId="0" applyFont="1"/>
    <xf numFmtId="0" fontId="6" fillId="0" borderId="1" xfId="0" applyFont="1" applyBorder="1" applyAlignment="1" applyProtection="1">
      <alignment vertical="top"/>
      <protection locked="0"/>
    </xf>
    <xf numFmtId="1" fontId="4" fillId="0" borderId="0" xfId="0" applyNumberFormat="1" applyFont="1"/>
    <xf numFmtId="4" fontId="54" fillId="0" borderId="1" xfId="0" applyNumberFormat="1" applyFont="1" applyBorder="1"/>
    <xf numFmtId="0" fontId="0" fillId="7" borderId="1" xfId="0" applyFill="1" applyBorder="1"/>
    <xf numFmtId="3" fontId="3" fillId="7" borderId="1" xfId="0" applyNumberFormat="1" applyFont="1" applyFill="1" applyBorder="1" applyAlignment="1">
      <alignment horizontal="center" wrapText="1"/>
    </xf>
    <xf numFmtId="49" fontId="30" fillId="4" borderId="0" xfId="0" applyNumberFormat="1" applyFont="1" applyFill="1" applyAlignment="1">
      <alignment horizontal="left"/>
    </xf>
    <xf numFmtId="49" fontId="32" fillId="4" borderId="0" xfId="0" applyNumberFormat="1" applyFont="1" applyFill="1" applyAlignment="1">
      <alignment horizontal="left"/>
    </xf>
    <xf numFmtId="49" fontId="31" fillId="0" borderId="0" xfId="0" applyNumberFormat="1" applyFont="1" applyAlignment="1">
      <alignment horizontal="left"/>
    </xf>
    <xf numFmtId="4" fontId="0" fillId="3" borderId="11" xfId="0" applyNumberFormat="1" applyFill="1" applyBorder="1" applyAlignment="1">
      <alignment horizontal="center"/>
    </xf>
    <xf numFmtId="0" fontId="0" fillId="3" borderId="10" xfId="0" applyFill="1" applyBorder="1" applyAlignment="1">
      <alignment horizontal="center"/>
    </xf>
    <xf numFmtId="0" fontId="0" fillId="0" borderId="12" xfId="0" applyBorder="1" applyAlignment="1">
      <alignment horizontal="center"/>
    </xf>
    <xf numFmtId="4" fontId="0" fillId="3" borderId="11" xfId="0" applyNumberFormat="1" applyFill="1" applyBorder="1" applyAlignment="1">
      <alignment horizontal="center" wrapText="1"/>
    </xf>
    <xf numFmtId="0" fontId="0" fillId="3" borderId="10" xfId="0" applyFill="1" applyBorder="1" applyAlignment="1">
      <alignment horizontal="center" wrapText="1"/>
    </xf>
    <xf numFmtId="0" fontId="0" fillId="0" borderId="12" xfId="0" applyBorder="1" applyAlignment="1">
      <alignment horizontal="center" wrapText="1"/>
    </xf>
  </cellXfs>
  <cellStyles count="8">
    <cellStyle name="Comma 2" xfId="7" xr:uid="{68AF3142-48B6-46A0-9B66-4AC016C8CCBB}"/>
    <cellStyle name="Koma" xfId="6" builtinId="3"/>
    <cellStyle name="Normaallaad" xfId="0" builtinId="0"/>
    <cellStyle name="Normaallaad 2" xfId="5" xr:uid="{625F7053-1720-45B8-BC60-DA405838C2BD}"/>
    <cellStyle name="Normal 10 2" xfId="1" xr:uid="{D70F4CDE-1FE7-448C-B78C-16802263EF7D}"/>
    <cellStyle name="Normal 25 3 6" xfId="4" xr:uid="{C2461F04-5869-445E-B9DC-9D0918BE1F25}"/>
    <cellStyle name="Normal 25 9" xfId="2" xr:uid="{8906365B-27A6-4989-AF6D-1E0C5258DC94}"/>
    <cellStyle name="Normal 25 9 2" xfId="3" xr:uid="{9FD4BB3A-C968-4E24-8E39-E7D1D70EBE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i kujundus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09F5C-00A4-4BD3-B743-9BFC60E719C1}">
  <dimension ref="A1:AN98"/>
  <sheetViews>
    <sheetView tabSelected="1" zoomScale="90" zoomScaleNormal="90" workbookViewId="0">
      <pane ySplit="3" topLeftCell="A77" activePane="bottomLeft" state="frozen"/>
      <selection pane="bottomLeft" activeCell="B102" sqref="B102"/>
    </sheetView>
  </sheetViews>
  <sheetFormatPr defaultRowHeight="14.5" x14ac:dyDescent="0.35"/>
  <cols>
    <col min="1" max="1" width="7.453125" customWidth="1"/>
    <col min="2" max="2" width="61.453125" customWidth="1"/>
    <col min="3" max="7" width="22" style="2" customWidth="1"/>
    <col min="8" max="8" width="19.7265625" style="148" hidden="1" customWidth="1"/>
    <col min="9" max="11" width="18.81640625" style="148" hidden="1" customWidth="1"/>
    <col min="12" max="12" width="44.54296875" style="115" hidden="1" customWidth="1"/>
    <col min="13" max="14" width="13.453125" style="115" hidden="1" customWidth="1"/>
    <col min="15" max="15" width="13" style="115" hidden="1" customWidth="1"/>
    <col min="16" max="16" width="13.54296875" style="115" hidden="1" customWidth="1"/>
    <col min="17" max="17" width="13.7265625" style="115" hidden="1" customWidth="1"/>
    <col min="18" max="39" width="0" hidden="1" customWidth="1"/>
  </cols>
  <sheetData>
    <row r="1" spans="1:17" ht="15.5" x14ac:dyDescent="0.35">
      <c r="A1" s="197" t="s">
        <v>1188</v>
      </c>
      <c r="C1" s="1"/>
      <c r="E1" s="239"/>
      <c r="F1" s="239"/>
      <c r="G1" s="198"/>
      <c r="L1" s="187" t="s">
        <v>1027</v>
      </c>
    </row>
    <row r="2" spans="1:17" ht="15.5" x14ac:dyDescent="0.35">
      <c r="A2" t="s">
        <v>0</v>
      </c>
      <c r="C2" s="1"/>
      <c r="G2" s="198"/>
      <c r="L2" s="115" t="s">
        <v>784</v>
      </c>
    </row>
    <row r="3" spans="1:17" ht="30.5" x14ac:dyDescent="0.35">
      <c r="A3" s="286"/>
      <c r="B3" s="286"/>
      <c r="C3" s="287" t="s">
        <v>1</v>
      </c>
      <c r="D3" s="287" t="s">
        <v>2</v>
      </c>
      <c r="E3" s="287" t="s">
        <v>1028</v>
      </c>
      <c r="F3" s="287" t="s">
        <v>935</v>
      </c>
      <c r="G3" s="287" t="s">
        <v>3</v>
      </c>
      <c r="L3" s="137"/>
      <c r="M3" s="118" t="s">
        <v>1</v>
      </c>
      <c r="N3" s="118" t="s">
        <v>2</v>
      </c>
      <c r="O3" s="118" t="s">
        <v>935</v>
      </c>
      <c r="P3" s="118" t="s">
        <v>880</v>
      </c>
      <c r="Q3" s="118" t="s">
        <v>3</v>
      </c>
    </row>
    <row r="4" spans="1:17" ht="15.5" x14ac:dyDescent="0.35">
      <c r="A4" s="201"/>
      <c r="B4" s="202"/>
      <c r="C4" s="13"/>
      <c r="D4" s="14"/>
      <c r="E4" s="144"/>
      <c r="F4" s="144"/>
      <c r="G4" s="6"/>
      <c r="K4" s="148">
        <f t="shared" ref="K4:K41" si="0">J4-G4</f>
        <v>0</v>
      </c>
      <c r="L4" s="158" t="s">
        <v>809</v>
      </c>
      <c r="M4" s="130"/>
      <c r="N4" s="130"/>
      <c r="O4" s="130"/>
      <c r="P4" s="130"/>
      <c r="Q4" s="130"/>
    </row>
    <row r="5" spans="1:17" ht="15.5" x14ac:dyDescent="0.35">
      <c r="A5" s="204" t="s">
        <v>21</v>
      </c>
      <c r="B5" s="204"/>
      <c r="C5" s="143">
        <f>SUM(C6:C10)</f>
        <v>17726110</v>
      </c>
      <c r="D5" s="143">
        <f t="shared" ref="D5:G5" si="1">SUM(D6:D10)</f>
        <v>17726110</v>
      </c>
      <c r="E5" s="143">
        <f t="shared" si="1"/>
        <v>17760113.699999999</v>
      </c>
      <c r="F5" s="143">
        <f t="shared" ref="F5" si="2">SUM(F6:F10)</f>
        <v>15253518.220000003</v>
      </c>
      <c r="G5" s="143">
        <f t="shared" si="1"/>
        <v>34003.699999997109</v>
      </c>
      <c r="J5" s="148">
        <f t="shared" ref="J5:J68" si="3">E5-D5</f>
        <v>34003.699999999255</v>
      </c>
      <c r="K5" s="148">
        <f t="shared" si="0"/>
        <v>2.1464074961841106E-9</v>
      </c>
      <c r="L5" s="159" t="s">
        <v>21</v>
      </c>
      <c r="M5" s="133">
        <f t="shared" ref="M5:M59" si="4">ROUND(C5/1000,0)</f>
        <v>17726</v>
      </c>
      <c r="N5" s="133">
        <f t="shared" ref="N5:N59" si="5">ROUND(D5/1000,0)</f>
        <v>17726</v>
      </c>
      <c r="O5" s="133">
        <f t="shared" ref="O5:O80" si="6">ROUND(E5/1000,0)</f>
        <v>17760</v>
      </c>
      <c r="P5" s="133">
        <f t="shared" ref="P5:P80" si="7">ROUND(F5/1000,0)</f>
        <v>15254</v>
      </c>
      <c r="Q5" s="133">
        <f t="shared" ref="Q5:Q59" si="8">ROUND(G5/1000,0)</f>
        <v>34</v>
      </c>
    </row>
    <row r="6" spans="1:17" ht="15.5" x14ac:dyDescent="0.35">
      <c r="A6" s="206"/>
      <c r="B6" s="205" t="s">
        <v>6</v>
      </c>
      <c r="C6" s="7">
        <v>46300</v>
      </c>
      <c r="D6" s="7">
        <f>C6</f>
        <v>46300</v>
      </c>
      <c r="E6" s="7">
        <v>35671</v>
      </c>
      <c r="F6" s="7">
        <v>8860</v>
      </c>
      <c r="G6" s="7">
        <f>E6-D6</f>
        <v>-10629</v>
      </c>
      <c r="H6" s="167"/>
      <c r="I6" s="167"/>
      <c r="J6" s="148">
        <f t="shared" si="3"/>
        <v>-10629</v>
      </c>
      <c r="K6" s="148">
        <f t="shared" si="0"/>
        <v>0</v>
      </c>
      <c r="L6" s="196" t="s">
        <v>6</v>
      </c>
      <c r="M6" s="130">
        <f t="shared" ref="M6:M10" si="9">ROUND(C6/1000,0)</f>
        <v>46</v>
      </c>
      <c r="N6" s="130">
        <f t="shared" ref="N6:N10" si="10">ROUND(D6/1000,0)</f>
        <v>46</v>
      </c>
      <c r="O6" s="130">
        <f t="shared" ref="O6:O10" si="11">ROUND(E6/1000,0)</f>
        <v>36</v>
      </c>
      <c r="P6" s="130">
        <f t="shared" ref="P6:P10" si="12">ROUND(F6/1000,0)</f>
        <v>9</v>
      </c>
      <c r="Q6" s="130">
        <f t="shared" ref="Q6:Q10" si="13">ROUND(G6/1000,0)</f>
        <v>-11</v>
      </c>
    </row>
    <row r="7" spans="1:17" ht="15.5" x14ac:dyDescent="0.35">
      <c r="A7" s="206"/>
      <c r="B7" s="205" t="s">
        <v>7</v>
      </c>
      <c r="C7" s="7">
        <v>2821141</v>
      </c>
      <c r="D7" s="7">
        <f t="shared" ref="D7:D10" si="14">C7</f>
        <v>2821141</v>
      </c>
      <c r="E7" s="7">
        <f>3148031.06+140268.29+5481.34</f>
        <v>3293780.69</v>
      </c>
      <c r="F7" s="7">
        <f>3124306.72+143707.29-9796.64</f>
        <v>3258217.37</v>
      </c>
      <c r="G7" s="7">
        <f t="shared" ref="G7:G10" si="15">E7-D7</f>
        <v>472639.68999999994</v>
      </c>
      <c r="H7" s="167"/>
      <c r="I7" s="167"/>
      <c r="J7" s="148">
        <f t="shared" si="3"/>
        <v>472639.68999999994</v>
      </c>
      <c r="K7" s="148">
        <f t="shared" si="0"/>
        <v>0</v>
      </c>
      <c r="L7" s="196" t="s">
        <v>7</v>
      </c>
      <c r="M7" s="130">
        <f t="shared" si="9"/>
        <v>2821</v>
      </c>
      <c r="N7" s="130">
        <f t="shared" si="10"/>
        <v>2821</v>
      </c>
      <c r="O7" s="130">
        <f t="shared" si="11"/>
        <v>3294</v>
      </c>
      <c r="P7" s="130">
        <f t="shared" si="12"/>
        <v>3258</v>
      </c>
      <c r="Q7" s="130">
        <f t="shared" si="13"/>
        <v>473</v>
      </c>
    </row>
    <row r="8" spans="1:17" ht="15.5" x14ac:dyDescent="0.35">
      <c r="A8" s="206"/>
      <c r="B8" s="205" t="s">
        <v>5</v>
      </c>
      <c r="C8" s="7">
        <v>14858669</v>
      </c>
      <c r="D8" s="7">
        <f t="shared" si="14"/>
        <v>14858669</v>
      </c>
      <c r="E8" s="7">
        <f>17896650.74-871.04-16767.69-2546373.25-912984.8</f>
        <v>14419653.959999997</v>
      </c>
      <c r="F8" s="7">
        <f>13349380.22-972648.17-4762.74-7607.2-383983.72</f>
        <v>11980378.390000001</v>
      </c>
      <c r="G8" s="7">
        <f t="shared" si="15"/>
        <v>-439015.04000000283</v>
      </c>
      <c r="H8" s="167"/>
      <c r="I8" s="167"/>
      <c r="J8" s="148">
        <f t="shared" si="3"/>
        <v>-439015.04000000283</v>
      </c>
      <c r="K8" s="148">
        <f t="shared" si="0"/>
        <v>0</v>
      </c>
      <c r="L8" s="196" t="s">
        <v>5</v>
      </c>
      <c r="M8" s="130">
        <f t="shared" si="9"/>
        <v>14859</v>
      </c>
      <c r="N8" s="130">
        <f t="shared" si="10"/>
        <v>14859</v>
      </c>
      <c r="O8" s="130">
        <f t="shared" si="11"/>
        <v>14420</v>
      </c>
      <c r="P8" s="130">
        <f t="shared" si="12"/>
        <v>11980</v>
      </c>
      <c r="Q8" s="130">
        <f t="shared" si="13"/>
        <v>-439</v>
      </c>
    </row>
    <row r="9" spans="1:17" ht="15.5" x14ac:dyDescent="0.35">
      <c r="A9" s="206"/>
      <c r="B9" s="205" t="s">
        <v>720</v>
      </c>
      <c r="C9" s="7">
        <v>0</v>
      </c>
      <c r="D9" s="7">
        <f t="shared" si="14"/>
        <v>0</v>
      </c>
      <c r="E9" s="7">
        <v>10526.84</v>
      </c>
      <c r="F9" s="7">
        <v>4851.47</v>
      </c>
      <c r="G9" s="7">
        <f t="shared" si="15"/>
        <v>10526.84</v>
      </c>
      <c r="H9" s="167"/>
      <c r="I9" s="167"/>
      <c r="J9" s="148">
        <f t="shared" si="3"/>
        <v>10526.84</v>
      </c>
      <c r="K9" s="148">
        <f t="shared" si="0"/>
        <v>0</v>
      </c>
      <c r="L9" s="196" t="s">
        <v>720</v>
      </c>
      <c r="M9" s="130">
        <f t="shared" si="9"/>
        <v>0</v>
      </c>
      <c r="N9" s="130">
        <f t="shared" si="10"/>
        <v>0</v>
      </c>
      <c r="O9" s="130">
        <f t="shared" si="11"/>
        <v>11</v>
      </c>
      <c r="P9" s="130">
        <f t="shared" si="12"/>
        <v>5</v>
      </c>
      <c r="Q9" s="130">
        <f t="shared" si="13"/>
        <v>11</v>
      </c>
    </row>
    <row r="10" spans="1:17" ht="15.5" x14ac:dyDescent="0.35">
      <c r="A10" s="206"/>
      <c r="B10" s="205" t="s">
        <v>12</v>
      </c>
      <c r="C10" s="7">
        <v>0</v>
      </c>
      <c r="D10" s="7">
        <f t="shared" si="14"/>
        <v>0</v>
      </c>
      <c r="E10" s="7">
        <v>481.21</v>
      </c>
      <c r="F10" s="7">
        <v>1210.99</v>
      </c>
      <c r="G10" s="7">
        <f t="shared" si="15"/>
        <v>481.21</v>
      </c>
      <c r="H10" s="167"/>
      <c r="I10" s="167"/>
      <c r="J10" s="148">
        <f t="shared" si="3"/>
        <v>481.21</v>
      </c>
      <c r="K10" s="148">
        <f t="shared" si="0"/>
        <v>0</v>
      </c>
      <c r="L10" s="196" t="s">
        <v>12</v>
      </c>
      <c r="M10" s="130">
        <f t="shared" si="9"/>
        <v>0</v>
      </c>
      <c r="N10" s="130">
        <f t="shared" si="10"/>
        <v>0</v>
      </c>
      <c r="O10" s="130">
        <f t="shared" si="11"/>
        <v>0</v>
      </c>
      <c r="P10" s="130">
        <f t="shared" si="12"/>
        <v>1</v>
      </c>
      <c r="Q10" s="130">
        <f t="shared" si="13"/>
        <v>0</v>
      </c>
    </row>
    <row r="11" spans="1:17" ht="15.5" x14ac:dyDescent="0.35">
      <c r="A11" s="204" t="s">
        <v>17</v>
      </c>
      <c r="B11" s="204"/>
      <c r="C11" s="143">
        <f>C13+C21+C63+C83</f>
        <v>-336512165</v>
      </c>
      <c r="D11" s="143">
        <f>D13+D21+D63+D83</f>
        <v>-430439500.70999998</v>
      </c>
      <c r="E11" s="143">
        <f>E13+E21+E63+E83</f>
        <v>-362513205.86097604</v>
      </c>
      <c r="F11" s="143">
        <f>F13+F21+F63+F83</f>
        <v>-376297636.82999998</v>
      </c>
      <c r="G11" s="143">
        <f>G13+G21+G63+G83</f>
        <v>67926294.849023938</v>
      </c>
      <c r="H11" s="148">
        <f>E11+E64+1027706.71</f>
        <v>-362397767.25097609</v>
      </c>
      <c r="J11" s="148">
        <f t="shared" si="3"/>
        <v>67926294.849023938</v>
      </c>
      <c r="K11" s="148">
        <f t="shared" si="0"/>
        <v>0</v>
      </c>
      <c r="L11" s="159" t="s">
        <v>17</v>
      </c>
      <c r="M11" s="133">
        <f t="shared" si="4"/>
        <v>-336512</v>
      </c>
      <c r="N11" s="133">
        <f t="shared" si="5"/>
        <v>-430440</v>
      </c>
      <c r="O11" s="133">
        <f t="shared" si="6"/>
        <v>-362513</v>
      </c>
      <c r="P11" s="133">
        <f t="shared" si="7"/>
        <v>-376298</v>
      </c>
      <c r="Q11" s="133">
        <f t="shared" si="8"/>
        <v>67926</v>
      </c>
    </row>
    <row r="12" spans="1:17" ht="15.5" x14ac:dyDescent="0.35">
      <c r="A12" s="206"/>
      <c r="B12" s="205" t="s">
        <v>13</v>
      </c>
      <c r="C12" s="7">
        <f>C14+C22+C84</f>
        <v>-263488214</v>
      </c>
      <c r="D12" s="7">
        <f>D14+D22+D84</f>
        <v>-306629373.25999999</v>
      </c>
      <c r="E12" s="7">
        <f>E14+E22+E84</f>
        <v>-283890108.90999997</v>
      </c>
      <c r="F12" s="7">
        <f>F14+F22+F84</f>
        <v>-302137940.36000001</v>
      </c>
      <c r="G12" s="7">
        <f>G14+G22+G84</f>
        <v>22739264.349999979</v>
      </c>
      <c r="H12" s="251">
        <f>362513205.95+E11</f>
        <v>8.9023947715759277E-2</v>
      </c>
      <c r="J12" s="148">
        <f>E12-D12</f>
        <v>22739264.350000024</v>
      </c>
      <c r="K12" s="148">
        <f t="shared" si="0"/>
        <v>4.4703483581542969E-8</v>
      </c>
      <c r="L12" s="160" t="s">
        <v>804</v>
      </c>
      <c r="M12" s="130">
        <f t="shared" si="4"/>
        <v>-263488</v>
      </c>
      <c r="N12" s="130">
        <f t="shared" si="5"/>
        <v>-306629</v>
      </c>
      <c r="O12" s="130">
        <f t="shared" si="6"/>
        <v>-283890</v>
      </c>
      <c r="P12" s="130">
        <f t="shared" si="7"/>
        <v>-302138</v>
      </c>
      <c r="Q12" s="130">
        <f t="shared" si="8"/>
        <v>22739</v>
      </c>
    </row>
    <row r="13" spans="1:17" ht="15.5" x14ac:dyDescent="0.35">
      <c r="A13" s="201" t="s">
        <v>810</v>
      </c>
      <c r="B13" s="201"/>
      <c r="C13" s="15">
        <f>C17+C19</f>
        <v>-16557073</v>
      </c>
      <c r="D13" s="15">
        <f t="shared" ref="D13:G13" si="16">D17+D19</f>
        <v>-18893177.509999998</v>
      </c>
      <c r="E13" s="15">
        <f t="shared" si="16"/>
        <v>-14188492.67</v>
      </c>
      <c r="F13" s="15">
        <f t="shared" ref="F13" si="17">F17+F19</f>
        <v>-14057837.08</v>
      </c>
      <c r="G13" s="15">
        <f t="shared" si="16"/>
        <v>4704684.839999998</v>
      </c>
      <c r="H13" s="251">
        <f>283574797.99+E12</f>
        <v>-315310.91999995708</v>
      </c>
      <c r="J13" s="148">
        <f t="shared" si="3"/>
        <v>4704684.839999998</v>
      </c>
      <c r="K13" s="148">
        <f t="shared" si="0"/>
        <v>0</v>
      </c>
      <c r="L13" s="133" t="s">
        <v>810</v>
      </c>
      <c r="M13" s="133">
        <f t="shared" ref="M13" si="18">ROUND(C13/1000,0)</f>
        <v>-16557</v>
      </c>
      <c r="N13" s="133">
        <f t="shared" ref="N13" si="19">ROUND(D13/1000,0)</f>
        <v>-18893</v>
      </c>
      <c r="O13" s="133">
        <f t="shared" ref="O13" si="20">ROUND(E13/1000,0)</f>
        <v>-14188</v>
      </c>
      <c r="P13" s="133">
        <f t="shared" ref="P13" si="21">ROUND(F13/1000,0)</f>
        <v>-14058</v>
      </c>
      <c r="Q13" s="133">
        <f t="shared" ref="Q13" si="22">ROUND(G13/1000,0)</f>
        <v>4705</v>
      </c>
    </row>
    <row r="14" spans="1:17" ht="15.5" x14ac:dyDescent="0.35">
      <c r="A14" s="201"/>
      <c r="B14" s="205" t="s">
        <v>13</v>
      </c>
      <c r="C14" s="13">
        <f>C18+C20</f>
        <v>-5039394</v>
      </c>
      <c r="D14" s="13">
        <f t="shared" ref="D14:G14" si="23">D18+D20</f>
        <v>-8975339.7599999998</v>
      </c>
      <c r="E14" s="13">
        <f t="shared" si="23"/>
        <v>-5887965.8799999999</v>
      </c>
      <c r="F14" s="13">
        <f t="shared" ref="F14" si="24">F18+F20</f>
        <v>-8378179.79</v>
      </c>
      <c r="G14" s="13">
        <f t="shared" si="23"/>
        <v>3087373.88</v>
      </c>
      <c r="H14" s="148">
        <f>H13+315310.89</f>
        <v>-2.9999957070685923E-2</v>
      </c>
      <c r="J14" s="148">
        <f t="shared" si="3"/>
        <v>3087373.88</v>
      </c>
      <c r="K14" s="148">
        <f t="shared" si="0"/>
        <v>0</v>
      </c>
      <c r="L14" s="160" t="s">
        <v>804</v>
      </c>
      <c r="M14" s="130">
        <f t="shared" ref="M14:M15" si="25">ROUND(C14/1000,0)</f>
        <v>-5039</v>
      </c>
      <c r="N14" s="130">
        <f t="shared" ref="N14:N15" si="26">ROUND(D14/1000,0)</f>
        <v>-8975</v>
      </c>
      <c r="O14" s="130">
        <f t="shared" ref="O14:O15" si="27">ROUND(E14/1000,0)</f>
        <v>-5888</v>
      </c>
      <c r="P14" s="130">
        <f t="shared" ref="P14:P15" si="28">ROUND(F14/1000,0)</f>
        <v>-8378</v>
      </c>
      <c r="Q14" s="130">
        <f t="shared" ref="Q14:Q15" si="29">ROUND(G14/1000,0)</f>
        <v>3087</v>
      </c>
    </row>
    <row r="15" spans="1:17" ht="15.5" x14ac:dyDescent="0.35">
      <c r="A15" s="203" t="s">
        <v>940</v>
      </c>
      <c r="B15" s="203"/>
      <c r="C15" s="15">
        <f>C17+C19</f>
        <v>-16557073</v>
      </c>
      <c r="D15" s="15">
        <f t="shared" ref="D15:G15" si="30">D17+D19</f>
        <v>-18893177.509999998</v>
      </c>
      <c r="E15" s="15">
        <f t="shared" si="30"/>
        <v>-14188492.67</v>
      </c>
      <c r="F15" s="15">
        <f t="shared" ref="F15" si="31">F17+F19</f>
        <v>-14057837.08</v>
      </c>
      <c r="G15" s="15">
        <f t="shared" si="30"/>
        <v>4704684.839999998</v>
      </c>
      <c r="J15" s="148">
        <f t="shared" si="3"/>
        <v>4704684.839999998</v>
      </c>
      <c r="K15" s="148">
        <f t="shared" si="0"/>
        <v>0</v>
      </c>
      <c r="L15" s="133" t="s">
        <v>940</v>
      </c>
      <c r="M15" s="133">
        <f t="shared" si="25"/>
        <v>-16557</v>
      </c>
      <c r="N15" s="133">
        <f t="shared" si="26"/>
        <v>-18893</v>
      </c>
      <c r="O15" s="133">
        <f t="shared" si="27"/>
        <v>-14188</v>
      </c>
      <c r="P15" s="133">
        <f t="shared" si="28"/>
        <v>-14058</v>
      </c>
      <c r="Q15" s="133">
        <f t="shared" si="29"/>
        <v>4705</v>
      </c>
    </row>
    <row r="16" spans="1:17" ht="15.5" x14ac:dyDescent="0.35">
      <c r="A16" s="203"/>
      <c r="B16" s="205" t="s">
        <v>13</v>
      </c>
      <c r="C16" s="13">
        <f>C18+C20</f>
        <v>-5039394</v>
      </c>
      <c r="D16" s="13">
        <f t="shared" ref="D16:G16" si="32">D18+D20</f>
        <v>-8975339.7599999998</v>
      </c>
      <c r="E16" s="13">
        <f t="shared" si="32"/>
        <v>-5887965.8799999999</v>
      </c>
      <c r="F16" s="13">
        <f t="shared" ref="F16" si="33">F18+F20</f>
        <v>-8378179.79</v>
      </c>
      <c r="G16" s="13">
        <f t="shared" si="32"/>
        <v>3087373.88</v>
      </c>
      <c r="J16" s="148">
        <f t="shared" si="3"/>
        <v>3087373.88</v>
      </c>
      <c r="K16" s="148">
        <f t="shared" si="0"/>
        <v>0</v>
      </c>
      <c r="L16" s="160" t="s">
        <v>804</v>
      </c>
      <c r="M16" s="130">
        <f t="shared" ref="M16" si="34">ROUND(C16/1000,0)</f>
        <v>-5039</v>
      </c>
      <c r="N16" s="130">
        <f t="shared" ref="N16" si="35">ROUND(D16/1000,0)</f>
        <v>-8975</v>
      </c>
      <c r="O16" s="130">
        <f t="shared" ref="O16" si="36">ROUND(E16/1000,0)</f>
        <v>-5888</v>
      </c>
      <c r="P16" s="130">
        <f t="shared" ref="P16:P18" si="37">ROUND(F16/1000,0)</f>
        <v>-8378</v>
      </c>
      <c r="Q16" s="130">
        <f t="shared" ref="Q16" si="38">ROUND(G16/1000,0)</f>
        <v>3087</v>
      </c>
    </row>
    <row r="17" spans="1:17" ht="15.5" x14ac:dyDescent="0.35">
      <c r="A17" s="200" t="s">
        <v>881</v>
      </c>
      <c r="B17" s="202"/>
      <c r="C17" s="13">
        <f>'lisa2 Detailne kulude jaotus'!D19</f>
        <v>-16368323</v>
      </c>
      <c r="D17" s="13">
        <f>'lisa2 Detailne kulude jaotus'!E19</f>
        <v>-18680445.509999998</v>
      </c>
      <c r="E17" s="13">
        <f>'lisa2 Detailne kulude jaotus'!F19</f>
        <v>-14022270.92</v>
      </c>
      <c r="F17" s="13">
        <v>-13883931.24</v>
      </c>
      <c r="G17" s="7">
        <f t="shared" ref="G17:G20" si="39">E17-D17</f>
        <v>4658174.589999998</v>
      </c>
      <c r="H17" s="167" t="s">
        <v>882</v>
      </c>
      <c r="I17" s="167"/>
      <c r="J17" s="148">
        <f t="shared" si="3"/>
        <v>4658174.589999998</v>
      </c>
      <c r="K17" s="148">
        <f t="shared" si="0"/>
        <v>0</v>
      </c>
      <c r="L17" s="222" t="s">
        <v>881</v>
      </c>
      <c r="M17" s="130">
        <f t="shared" ref="M17:M18" si="40">ROUND(C17/1000,0)</f>
        <v>-16368</v>
      </c>
      <c r="N17" s="130">
        <f t="shared" ref="N17:N18" si="41">ROUND(D17/1000,0)</f>
        <v>-18680</v>
      </c>
      <c r="O17" s="130">
        <f t="shared" ref="O17:O18" si="42">ROUND(E17/1000,0)</f>
        <v>-14022</v>
      </c>
      <c r="P17" s="130">
        <f t="shared" si="37"/>
        <v>-13884</v>
      </c>
      <c r="Q17" s="130">
        <f t="shared" ref="Q17:Q18" si="43">ROUND(G17/1000,0)</f>
        <v>4658</v>
      </c>
    </row>
    <row r="18" spans="1:17" ht="15.5" x14ac:dyDescent="0.35">
      <c r="A18" s="211"/>
      <c r="B18" s="205" t="s">
        <v>13</v>
      </c>
      <c r="C18" s="13">
        <f>'lisa2 Detailne kulude jaotus'!D20</f>
        <v>-4850644</v>
      </c>
      <c r="D18" s="13">
        <f>'lisa2 Detailne kulude jaotus'!E20</f>
        <v>-8762607.7599999998</v>
      </c>
      <c r="E18" s="13">
        <f>'lisa2 Detailne kulude jaotus'!F20</f>
        <v>-5721744.1299999999</v>
      </c>
      <c r="F18" s="13">
        <v>-8204273.9500000002</v>
      </c>
      <c r="G18" s="7">
        <f t="shared" si="39"/>
        <v>3040863.63</v>
      </c>
      <c r="I18" s="167"/>
      <c r="J18" s="148">
        <f t="shared" si="3"/>
        <v>3040863.63</v>
      </c>
      <c r="K18" s="148">
        <f t="shared" si="0"/>
        <v>0</v>
      </c>
      <c r="L18" s="160" t="s">
        <v>804</v>
      </c>
      <c r="M18" s="130">
        <f t="shared" si="40"/>
        <v>-4851</v>
      </c>
      <c r="N18" s="130">
        <f t="shared" si="41"/>
        <v>-8763</v>
      </c>
      <c r="O18" s="130">
        <f t="shared" si="42"/>
        <v>-5722</v>
      </c>
      <c r="P18" s="130">
        <f t="shared" si="37"/>
        <v>-8204</v>
      </c>
      <c r="Q18" s="130">
        <f t="shared" si="43"/>
        <v>3041</v>
      </c>
    </row>
    <row r="19" spans="1:17" ht="15.5" x14ac:dyDescent="0.35">
      <c r="A19" s="218" t="s">
        <v>883</v>
      </c>
      <c r="B19" s="205"/>
      <c r="C19" s="7">
        <f>'lisa2 Detailne kulude jaotus'!D35</f>
        <v>-188750</v>
      </c>
      <c r="D19" s="7">
        <f>'lisa2 Detailne kulude jaotus'!E35</f>
        <v>-212732</v>
      </c>
      <c r="E19" s="7">
        <f>'lisa2 Detailne kulude jaotus'!F35</f>
        <v>-166221.75</v>
      </c>
      <c r="F19" s="7">
        <v>-173905.84</v>
      </c>
      <c r="G19" s="7">
        <f t="shared" si="39"/>
        <v>46510.25</v>
      </c>
      <c r="H19" s="167" t="s">
        <v>884</v>
      </c>
      <c r="I19" s="167"/>
      <c r="J19" s="148">
        <f t="shared" si="3"/>
        <v>46510.25</v>
      </c>
      <c r="K19" s="148">
        <f t="shared" si="0"/>
        <v>0</v>
      </c>
      <c r="L19" s="222" t="s">
        <v>883</v>
      </c>
      <c r="M19" s="130">
        <f t="shared" ref="M19:M20" si="44">ROUND(C19/1000,0)</f>
        <v>-189</v>
      </c>
      <c r="N19" s="130">
        <f t="shared" ref="N19:N20" si="45">ROUND(D19/1000,0)</f>
        <v>-213</v>
      </c>
      <c r="O19" s="130">
        <f t="shared" ref="O19:O20" si="46">ROUND(E19/1000,0)</f>
        <v>-166</v>
      </c>
      <c r="P19" s="130">
        <f t="shared" ref="P19:P20" si="47">ROUND(F19/1000,0)</f>
        <v>-174</v>
      </c>
      <c r="Q19" s="130">
        <f t="shared" ref="Q19:Q20" si="48">ROUND(G19/1000,0)</f>
        <v>47</v>
      </c>
    </row>
    <row r="20" spans="1:17" ht="15.5" x14ac:dyDescent="0.35">
      <c r="A20" s="206"/>
      <c r="B20" s="205" t="s">
        <v>13</v>
      </c>
      <c r="C20" s="7">
        <f>'lisa2 Detailne kulude jaotus'!D36</f>
        <v>-188750</v>
      </c>
      <c r="D20" s="7">
        <f>'lisa2 Detailne kulude jaotus'!E36</f>
        <v>-212732</v>
      </c>
      <c r="E20" s="7">
        <f>'lisa2 Detailne kulude jaotus'!F36</f>
        <v>-166221.75</v>
      </c>
      <c r="F20" s="7">
        <v>-173905.84</v>
      </c>
      <c r="G20" s="7">
        <f t="shared" si="39"/>
        <v>46510.25</v>
      </c>
      <c r="H20" s="167"/>
      <c r="I20" s="167"/>
      <c r="J20" s="148">
        <f t="shared" si="3"/>
        <v>46510.25</v>
      </c>
      <c r="K20" s="148">
        <f t="shared" si="0"/>
        <v>0</v>
      </c>
      <c r="L20" s="160" t="s">
        <v>804</v>
      </c>
      <c r="M20" s="130">
        <f t="shared" si="44"/>
        <v>-189</v>
      </c>
      <c r="N20" s="130">
        <f t="shared" si="45"/>
        <v>-213</v>
      </c>
      <c r="O20" s="130">
        <f t="shared" si="46"/>
        <v>-166</v>
      </c>
      <c r="P20" s="130">
        <f t="shared" si="47"/>
        <v>-174</v>
      </c>
      <c r="Q20" s="130">
        <f t="shared" si="48"/>
        <v>47</v>
      </c>
    </row>
    <row r="21" spans="1:17" s="51" customFormat="1" ht="15.5" x14ac:dyDescent="0.35">
      <c r="A21" s="201" t="s">
        <v>785</v>
      </c>
      <c r="B21" s="201"/>
      <c r="C21" s="145">
        <f t="shared" ref="C21:G22" si="49">C23+C55</f>
        <v>-317646523</v>
      </c>
      <c r="D21" s="145">
        <f t="shared" si="49"/>
        <v>-409269818.16999996</v>
      </c>
      <c r="E21" s="145">
        <f t="shared" si="49"/>
        <v>-346653437.66097599</v>
      </c>
      <c r="F21" s="145">
        <f t="shared" ref="F21" si="50">F23+F55</f>
        <v>-360725165.51999998</v>
      </c>
      <c r="G21" s="145">
        <f t="shared" si="49"/>
        <v>62616380.509023972</v>
      </c>
      <c r="H21" s="195"/>
      <c r="I21" s="195"/>
      <c r="J21" s="148">
        <f t="shared" si="3"/>
        <v>62616380.509023964</v>
      </c>
      <c r="K21" s="148">
        <f t="shared" si="0"/>
        <v>0</v>
      </c>
      <c r="L21" s="133" t="s">
        <v>785</v>
      </c>
      <c r="M21" s="133">
        <f t="shared" ref="M21" si="51">ROUND(C21/1000,0)</f>
        <v>-317647</v>
      </c>
      <c r="N21" s="133">
        <f t="shared" ref="N21" si="52">ROUND(D21/1000,0)</f>
        <v>-409270</v>
      </c>
      <c r="O21" s="133">
        <f t="shared" ref="O21" si="53">ROUND(E21/1000,0)</f>
        <v>-346653</v>
      </c>
      <c r="P21" s="133">
        <f t="shared" ref="P21" si="54">ROUND(F21/1000,0)</f>
        <v>-360725</v>
      </c>
      <c r="Q21" s="133">
        <f t="shared" ref="Q21" si="55">ROUND(G21/1000,0)</f>
        <v>62616</v>
      </c>
    </row>
    <row r="22" spans="1:17" ht="15.5" x14ac:dyDescent="0.35">
      <c r="A22" s="202"/>
      <c r="B22" s="205" t="s">
        <v>13</v>
      </c>
      <c r="C22" s="144">
        <f t="shared" si="49"/>
        <v>-258448820</v>
      </c>
      <c r="D22" s="144">
        <f t="shared" si="49"/>
        <v>-297654033.87</v>
      </c>
      <c r="E22" s="144">
        <f>E24+E56</f>
        <v>-278002143.38999999</v>
      </c>
      <c r="F22" s="144">
        <f t="shared" ref="F22" si="56">F24+F56</f>
        <v>-293759760.56999999</v>
      </c>
      <c r="G22" s="144">
        <f t="shared" si="49"/>
        <v>19651890.479999989</v>
      </c>
      <c r="H22" s="167"/>
      <c r="I22" s="167"/>
      <c r="J22" s="148">
        <f t="shared" si="3"/>
        <v>19651890.480000019</v>
      </c>
      <c r="K22" s="148">
        <f t="shared" si="0"/>
        <v>2.9802322387695313E-8</v>
      </c>
      <c r="L22" s="160" t="s">
        <v>804</v>
      </c>
      <c r="M22" s="130">
        <f t="shared" ref="M22:M23" si="57">ROUND(C22/1000,0)</f>
        <v>-258449</v>
      </c>
      <c r="N22" s="130">
        <f t="shared" ref="N22:N23" si="58">ROUND(D22/1000,0)</f>
        <v>-297654</v>
      </c>
      <c r="O22" s="130">
        <f t="shared" ref="O22:O23" si="59">ROUND(E22/1000,0)</f>
        <v>-278002</v>
      </c>
      <c r="P22" s="130">
        <f t="shared" ref="P22:P23" si="60">ROUND(F22/1000,0)</f>
        <v>-293760</v>
      </c>
      <c r="Q22" s="130">
        <f t="shared" ref="Q22:Q23" si="61">ROUND(G22/1000,0)</f>
        <v>19652</v>
      </c>
    </row>
    <row r="23" spans="1:17" ht="15.5" x14ac:dyDescent="0.35">
      <c r="A23" s="203" t="s">
        <v>811</v>
      </c>
      <c r="B23" s="201"/>
      <c r="C23" s="15">
        <f>C25+C27+C29+C31+C33+C35+C37+C39+C41+C43+C45+C47+C49+C51+C53</f>
        <v>-271511766</v>
      </c>
      <c r="D23" s="15">
        <f t="shared" ref="D23:E24" si="62">D25+D27+D29+D31+D33+D35+D37+D39+D41+D43+D45+D47+D49+D51+D53</f>
        <v>-358404590.90999997</v>
      </c>
      <c r="E23" s="15">
        <f t="shared" si="62"/>
        <v>-296947766.14097601</v>
      </c>
      <c r="F23" s="15">
        <f t="shared" ref="F23" si="63">F25+F27+F29+F31+F33+F35+F37+F39+F41+F43+F45+F47+F49+F51+F53</f>
        <v>-300927036.22999996</v>
      </c>
      <c r="G23" s="15">
        <f t="shared" ref="G23" si="64">G25+G27+G29+G31+G33+G35+G37+G39+G41+G43+G45+G47+G49+G51+G53</f>
        <v>61456824.769023977</v>
      </c>
      <c r="J23" s="148">
        <f t="shared" si="3"/>
        <v>61456824.769023955</v>
      </c>
      <c r="K23" s="148">
        <f t="shared" si="0"/>
        <v>0</v>
      </c>
      <c r="L23" s="133" t="s">
        <v>811</v>
      </c>
      <c r="M23" s="133">
        <f t="shared" si="57"/>
        <v>-271512</v>
      </c>
      <c r="N23" s="133">
        <f t="shared" si="58"/>
        <v>-358405</v>
      </c>
      <c r="O23" s="133">
        <f t="shared" si="59"/>
        <v>-296948</v>
      </c>
      <c r="P23" s="133">
        <f t="shared" si="60"/>
        <v>-300927</v>
      </c>
      <c r="Q23" s="133">
        <f t="shared" si="61"/>
        <v>61457</v>
      </c>
    </row>
    <row r="24" spans="1:17" ht="15.5" x14ac:dyDescent="0.35">
      <c r="A24" s="201"/>
      <c r="B24" s="205" t="s">
        <v>13</v>
      </c>
      <c r="C24" s="13">
        <f>C26+C28+C30+C32+C34+C36+C38+C40+C42+C44+C46+C48+C50+C52+C54</f>
        <v>-216557906</v>
      </c>
      <c r="D24" s="13">
        <f t="shared" si="62"/>
        <v>-251138894.51000002</v>
      </c>
      <c r="E24" s="13">
        <f>E26+E28+E30+E32+E34+E36+E38+E40+E42+E44+E46+E48+E50+E52+E54</f>
        <v>-232433732.87</v>
      </c>
      <c r="F24" s="13">
        <f t="shared" ref="F24" si="65">F26+F28+F30+F32+F34+F36+F38+F40+F42+F44+F46+F48+F50+F52+F54</f>
        <v>-237909675.58000001</v>
      </c>
      <c r="G24" s="13">
        <f t="shared" ref="G24" si="66">G26+G28+G30+G32+G34+G36+G38+G40+G42+G44+G46+G48+G50+G52+G54</f>
        <v>18705161.639999993</v>
      </c>
      <c r="J24" s="148">
        <f t="shared" si="3"/>
        <v>18705161.640000015</v>
      </c>
      <c r="K24" s="148">
        <f t="shared" si="0"/>
        <v>0</v>
      </c>
      <c r="L24" s="160" t="s">
        <v>804</v>
      </c>
      <c r="M24" s="130">
        <f t="shared" si="4"/>
        <v>-216558</v>
      </c>
      <c r="N24" s="130">
        <f t="shared" si="5"/>
        <v>-251139</v>
      </c>
      <c r="O24" s="130">
        <f t="shared" si="6"/>
        <v>-232434</v>
      </c>
      <c r="P24" s="130">
        <f t="shared" si="7"/>
        <v>-237910</v>
      </c>
      <c r="Q24" s="130">
        <f t="shared" si="8"/>
        <v>18705</v>
      </c>
    </row>
    <row r="25" spans="1:17" ht="15.5" x14ac:dyDescent="0.35">
      <c r="A25" s="220" t="s">
        <v>812</v>
      </c>
      <c r="B25" s="205"/>
      <c r="C25" s="13">
        <v>0</v>
      </c>
      <c r="D25" s="7">
        <f t="shared" ref="D25:D26" si="67">C25</f>
        <v>0</v>
      </c>
      <c r="E25" s="13">
        <v>0</v>
      </c>
      <c r="F25" s="13">
        <v>-3455454.07</v>
      </c>
      <c r="G25" s="7">
        <f t="shared" ref="G25:G54" si="68">E25-D25</f>
        <v>0</v>
      </c>
      <c r="H25" s="148" t="s">
        <v>828</v>
      </c>
      <c r="J25" s="148">
        <f t="shared" si="3"/>
        <v>0</v>
      </c>
      <c r="K25" s="148">
        <f t="shared" si="0"/>
        <v>0</v>
      </c>
      <c r="L25" s="225" t="s">
        <v>812</v>
      </c>
      <c r="M25" s="130">
        <f t="shared" ref="M25:M54" si="69">ROUND(C25/1000,0)</f>
        <v>0</v>
      </c>
      <c r="N25" s="130">
        <f t="shared" ref="N25:N54" si="70">ROUND(D25/1000,0)</f>
        <v>0</v>
      </c>
      <c r="O25" s="130">
        <f t="shared" ref="O25:O54" si="71">ROUND(E25/1000,0)</f>
        <v>0</v>
      </c>
      <c r="P25" s="130">
        <f t="shared" si="7"/>
        <v>-3455</v>
      </c>
      <c r="Q25" s="130">
        <f t="shared" ref="Q25:Q54" si="72">ROUND(G25/1000,0)</f>
        <v>0</v>
      </c>
    </row>
    <row r="26" spans="1:17" ht="15.5" x14ac:dyDescent="0.35">
      <c r="A26" s="220"/>
      <c r="B26" s="205" t="s">
        <v>13</v>
      </c>
      <c r="C26" s="13">
        <v>0</v>
      </c>
      <c r="D26" s="7">
        <f t="shared" si="67"/>
        <v>0</v>
      </c>
      <c r="E26" s="13">
        <v>0</v>
      </c>
      <c r="F26" s="13">
        <v>-255613.95</v>
      </c>
      <c r="G26" s="7">
        <f t="shared" si="68"/>
        <v>0</v>
      </c>
      <c r="J26" s="148">
        <f t="shared" si="3"/>
        <v>0</v>
      </c>
      <c r="K26" s="148">
        <f t="shared" si="0"/>
        <v>0</v>
      </c>
      <c r="L26" s="160" t="s">
        <v>804</v>
      </c>
      <c r="M26" s="130">
        <f t="shared" si="69"/>
        <v>0</v>
      </c>
      <c r="N26" s="130">
        <f t="shared" si="70"/>
        <v>0</v>
      </c>
      <c r="O26" s="130">
        <f t="shared" si="71"/>
        <v>0</v>
      </c>
      <c r="P26" s="130">
        <f t="shared" si="7"/>
        <v>-256</v>
      </c>
      <c r="Q26" s="130">
        <f t="shared" si="72"/>
        <v>0</v>
      </c>
    </row>
    <row r="27" spans="1:17" ht="15.5" x14ac:dyDescent="0.35">
      <c r="A27" s="220" t="s">
        <v>813</v>
      </c>
      <c r="B27" s="205"/>
      <c r="C27" s="13">
        <f>'lisa2 Detailne kulude jaotus'!D55</f>
        <v>-10777863</v>
      </c>
      <c r="D27" s="13">
        <f>'lisa2 Detailne kulude jaotus'!E55</f>
        <v>-11092920.32</v>
      </c>
      <c r="E27" s="13">
        <f>'lisa2 Detailne kulude jaotus'!F55</f>
        <v>-10758163.83</v>
      </c>
      <c r="F27" s="13">
        <v>-10350024.73</v>
      </c>
      <c r="G27" s="7">
        <f t="shared" si="68"/>
        <v>334756.49000000022</v>
      </c>
      <c r="H27" s="148" t="s">
        <v>829</v>
      </c>
      <c r="J27" s="148">
        <f t="shared" si="3"/>
        <v>334756.49000000022</v>
      </c>
      <c r="K27" s="148">
        <f t="shared" si="0"/>
        <v>0</v>
      </c>
      <c r="L27" s="225" t="s">
        <v>813</v>
      </c>
      <c r="M27" s="130">
        <f t="shared" si="69"/>
        <v>-10778</v>
      </c>
      <c r="N27" s="130">
        <f t="shared" si="70"/>
        <v>-11093</v>
      </c>
      <c r="O27" s="130">
        <f t="shared" si="71"/>
        <v>-10758</v>
      </c>
      <c r="P27" s="130">
        <f t="shared" si="7"/>
        <v>-10350</v>
      </c>
      <c r="Q27" s="130">
        <f t="shared" si="72"/>
        <v>335</v>
      </c>
    </row>
    <row r="28" spans="1:17" ht="15.5" x14ac:dyDescent="0.35">
      <c r="A28" s="220"/>
      <c r="B28" s="205" t="s">
        <v>13</v>
      </c>
      <c r="C28" s="13">
        <f>'lisa2 Detailne kulude jaotus'!D56</f>
        <v>-7388373</v>
      </c>
      <c r="D28" s="13">
        <f>'lisa2 Detailne kulude jaotus'!E56</f>
        <v>-7430312.7400000002</v>
      </c>
      <c r="E28" s="13">
        <f>'lisa2 Detailne kulude jaotus'!F56</f>
        <v>-7316935.8799999999</v>
      </c>
      <c r="F28" s="13">
        <v>-7257539.3399999999</v>
      </c>
      <c r="G28" s="7">
        <f t="shared" si="68"/>
        <v>113376.86000000034</v>
      </c>
      <c r="J28" s="148">
        <f t="shared" si="3"/>
        <v>113376.86000000034</v>
      </c>
      <c r="K28" s="148">
        <f t="shared" si="0"/>
        <v>0</v>
      </c>
      <c r="L28" s="160" t="s">
        <v>804</v>
      </c>
      <c r="M28" s="130">
        <f t="shared" si="69"/>
        <v>-7388</v>
      </c>
      <c r="N28" s="130">
        <f t="shared" si="70"/>
        <v>-7430</v>
      </c>
      <c r="O28" s="130">
        <f t="shared" si="71"/>
        <v>-7317</v>
      </c>
      <c r="P28" s="130">
        <f t="shared" si="7"/>
        <v>-7258</v>
      </c>
      <c r="Q28" s="130">
        <f t="shared" si="72"/>
        <v>113</v>
      </c>
    </row>
    <row r="29" spans="1:17" ht="15.5" x14ac:dyDescent="0.35">
      <c r="A29" s="220" t="s">
        <v>814</v>
      </c>
      <c r="B29" s="205"/>
      <c r="C29" s="13">
        <f>'lisa2 Detailne kulude jaotus'!D91</f>
        <v>-43828051</v>
      </c>
      <c r="D29" s="13">
        <f>'lisa2 Detailne kulude jaotus'!E91</f>
        <v>-49957417.319999993</v>
      </c>
      <c r="E29" s="13">
        <f>'lisa2 Detailne kulude jaotus'!F91</f>
        <v>-49800840.659999996</v>
      </c>
      <c r="F29" s="13">
        <v>-48214024.229999997</v>
      </c>
      <c r="G29" s="7">
        <f t="shared" si="68"/>
        <v>156576.65999999642</v>
      </c>
      <c r="H29" s="148" t="s">
        <v>830</v>
      </c>
      <c r="J29" s="148">
        <f t="shared" si="3"/>
        <v>156576.65999999642</v>
      </c>
      <c r="K29" s="148">
        <f t="shared" si="0"/>
        <v>0</v>
      </c>
      <c r="L29" s="225" t="s">
        <v>814</v>
      </c>
      <c r="M29" s="130">
        <f t="shared" si="69"/>
        <v>-43828</v>
      </c>
      <c r="N29" s="130">
        <f t="shared" si="70"/>
        <v>-49957</v>
      </c>
      <c r="O29" s="130">
        <f t="shared" si="71"/>
        <v>-49801</v>
      </c>
      <c r="P29" s="130">
        <f t="shared" si="7"/>
        <v>-48214</v>
      </c>
      <c r="Q29" s="130">
        <f t="shared" si="72"/>
        <v>157</v>
      </c>
    </row>
    <row r="30" spans="1:17" ht="15.5" x14ac:dyDescent="0.35">
      <c r="A30" s="220"/>
      <c r="B30" s="205" t="s">
        <v>13</v>
      </c>
      <c r="C30" s="13">
        <f>'lisa2 Detailne kulude jaotus'!D92</f>
        <v>-40000906</v>
      </c>
      <c r="D30" s="13">
        <f>'lisa2 Detailne kulude jaotus'!E92</f>
        <v>-40266271.479999997</v>
      </c>
      <c r="E30" s="13">
        <f>'lisa2 Detailne kulude jaotus'!F92</f>
        <v>-40216702</v>
      </c>
      <c r="F30" s="13">
        <v>-41919589.630000003</v>
      </c>
      <c r="G30" s="7">
        <f t="shared" si="68"/>
        <v>49569.479999996722</v>
      </c>
      <c r="J30" s="148">
        <f t="shared" si="3"/>
        <v>49569.479999996722</v>
      </c>
      <c r="K30" s="148">
        <f t="shared" si="0"/>
        <v>0</v>
      </c>
      <c r="L30" s="160" t="s">
        <v>804</v>
      </c>
      <c r="M30" s="130">
        <f t="shared" si="69"/>
        <v>-40001</v>
      </c>
      <c r="N30" s="130">
        <f t="shared" si="70"/>
        <v>-40266</v>
      </c>
      <c r="O30" s="130">
        <f t="shared" si="71"/>
        <v>-40217</v>
      </c>
      <c r="P30" s="130">
        <f t="shared" si="7"/>
        <v>-41920</v>
      </c>
      <c r="Q30" s="130">
        <f t="shared" si="72"/>
        <v>50</v>
      </c>
    </row>
    <row r="31" spans="1:17" ht="15.5" x14ac:dyDescent="0.35">
      <c r="A31" s="220" t="s">
        <v>815</v>
      </c>
      <c r="B31" s="205"/>
      <c r="C31" s="13">
        <f>'lisa2 Detailne kulude jaotus'!D113</f>
        <v>-20779321</v>
      </c>
      <c r="D31" s="13">
        <f>'lisa2 Detailne kulude jaotus'!E113</f>
        <v>-21602239.120000001</v>
      </c>
      <c r="E31" s="13">
        <f>'lisa2 Detailne kulude jaotus'!F113</f>
        <v>-17834510.949999999</v>
      </c>
      <c r="F31" s="13">
        <v>-18340598.199999999</v>
      </c>
      <c r="G31" s="7">
        <f t="shared" si="68"/>
        <v>3767728.1700000018</v>
      </c>
      <c r="H31" s="148" t="s">
        <v>831</v>
      </c>
      <c r="J31" s="148">
        <f t="shared" si="3"/>
        <v>3767728.1700000018</v>
      </c>
      <c r="K31" s="148">
        <f t="shared" si="0"/>
        <v>0</v>
      </c>
      <c r="L31" s="225" t="s">
        <v>815</v>
      </c>
      <c r="M31" s="130">
        <f t="shared" si="69"/>
        <v>-20779</v>
      </c>
      <c r="N31" s="130">
        <f t="shared" si="70"/>
        <v>-21602</v>
      </c>
      <c r="O31" s="130">
        <f t="shared" si="71"/>
        <v>-17835</v>
      </c>
      <c r="P31" s="130">
        <f t="shared" si="7"/>
        <v>-18341</v>
      </c>
      <c r="Q31" s="130">
        <f t="shared" si="72"/>
        <v>3768</v>
      </c>
    </row>
    <row r="32" spans="1:17" ht="15.5" x14ac:dyDescent="0.35">
      <c r="A32" s="220"/>
      <c r="B32" s="205" t="s">
        <v>13</v>
      </c>
      <c r="C32" s="13">
        <f>'lisa2 Detailne kulude jaotus'!D114</f>
        <v>-16575028</v>
      </c>
      <c r="D32" s="13">
        <f>'lisa2 Detailne kulude jaotus'!E114</f>
        <v>-17397946.120000001</v>
      </c>
      <c r="E32" s="13">
        <f>'lisa2 Detailne kulude jaotus'!F114</f>
        <v>-13720111.32</v>
      </c>
      <c r="F32" s="13">
        <v>-14566417.26</v>
      </c>
      <c r="G32" s="7">
        <f t="shared" si="68"/>
        <v>3677834.8000000007</v>
      </c>
      <c r="J32" s="148">
        <f t="shared" si="3"/>
        <v>3677834.8000000007</v>
      </c>
      <c r="K32" s="148">
        <f t="shared" si="0"/>
        <v>0</v>
      </c>
      <c r="L32" s="160" t="s">
        <v>804</v>
      </c>
      <c r="M32" s="130">
        <f t="shared" si="69"/>
        <v>-16575</v>
      </c>
      <c r="N32" s="130">
        <f t="shared" si="70"/>
        <v>-17398</v>
      </c>
      <c r="O32" s="130">
        <f t="shared" si="71"/>
        <v>-13720</v>
      </c>
      <c r="P32" s="130">
        <f t="shared" si="7"/>
        <v>-14566</v>
      </c>
      <c r="Q32" s="130">
        <f t="shared" si="72"/>
        <v>3678</v>
      </c>
    </row>
    <row r="33" spans="1:17" ht="15.5" x14ac:dyDescent="0.35">
      <c r="A33" s="220" t="s">
        <v>816</v>
      </c>
      <c r="B33" s="205"/>
      <c r="C33" s="13">
        <f>'lisa2 Detailne kulude jaotus'!D130</f>
        <v>-18824117</v>
      </c>
      <c r="D33" s="13">
        <f>'lisa2 Detailne kulude jaotus'!E130</f>
        <v>-19343231.640000001</v>
      </c>
      <c r="E33" s="13">
        <f>'lisa2 Detailne kulude jaotus'!F130</f>
        <v>-18776708.280000001</v>
      </c>
      <c r="F33" s="13">
        <v>-18688878.280000001</v>
      </c>
      <c r="G33" s="7">
        <f t="shared" si="68"/>
        <v>566523.3599999994</v>
      </c>
      <c r="H33" s="148" t="s">
        <v>832</v>
      </c>
      <c r="J33" s="148">
        <f t="shared" si="3"/>
        <v>566523.3599999994</v>
      </c>
      <c r="K33" s="148">
        <f t="shared" si="0"/>
        <v>0</v>
      </c>
      <c r="L33" s="225" t="s">
        <v>816</v>
      </c>
      <c r="M33" s="130">
        <f t="shared" si="69"/>
        <v>-18824</v>
      </c>
      <c r="N33" s="130">
        <f t="shared" si="70"/>
        <v>-19343</v>
      </c>
      <c r="O33" s="130">
        <f t="shared" si="71"/>
        <v>-18777</v>
      </c>
      <c r="P33" s="130">
        <f t="shared" si="7"/>
        <v>-18689</v>
      </c>
      <c r="Q33" s="130">
        <f t="shared" si="72"/>
        <v>567</v>
      </c>
    </row>
    <row r="34" spans="1:17" ht="15.5" x14ac:dyDescent="0.35">
      <c r="A34" s="220"/>
      <c r="B34" s="205" t="s">
        <v>13</v>
      </c>
      <c r="C34" s="13">
        <f>'lisa2 Detailne kulude jaotus'!D131</f>
        <v>-13939206</v>
      </c>
      <c r="D34" s="13">
        <f>'lisa2 Detailne kulude jaotus'!E131</f>
        <v>-14454957</v>
      </c>
      <c r="E34" s="13">
        <f>'lisa2 Detailne kulude jaotus'!F131</f>
        <v>-13982814</v>
      </c>
      <c r="F34" s="13">
        <v>-14908697.34</v>
      </c>
      <c r="G34" s="7">
        <f t="shared" si="68"/>
        <v>472143</v>
      </c>
      <c r="J34" s="148">
        <f t="shared" si="3"/>
        <v>472143</v>
      </c>
      <c r="K34" s="148">
        <f t="shared" si="0"/>
        <v>0</v>
      </c>
      <c r="L34" s="160" t="s">
        <v>804</v>
      </c>
      <c r="M34" s="130">
        <f t="shared" si="69"/>
        <v>-13939</v>
      </c>
      <c r="N34" s="130">
        <f t="shared" si="70"/>
        <v>-14455</v>
      </c>
      <c r="O34" s="130">
        <f t="shared" si="71"/>
        <v>-13983</v>
      </c>
      <c r="P34" s="130">
        <f t="shared" si="7"/>
        <v>-14909</v>
      </c>
      <c r="Q34" s="130">
        <f t="shared" si="72"/>
        <v>472</v>
      </c>
    </row>
    <row r="35" spans="1:17" ht="15.5" x14ac:dyDescent="0.35">
      <c r="A35" s="220" t="s">
        <v>817</v>
      </c>
      <c r="B35" s="205"/>
      <c r="C35" s="13">
        <f>'lisa2 Detailne kulude jaotus'!D152</f>
        <v>-11341711</v>
      </c>
      <c r="D35" s="13">
        <f>'lisa2 Detailne kulude jaotus'!E152</f>
        <v>-11377320.260000002</v>
      </c>
      <c r="E35" s="13">
        <f>'lisa2 Detailne kulude jaotus'!F152</f>
        <v>-8273147.2999999998</v>
      </c>
      <c r="F35" s="13">
        <v>-6320015.0499999998</v>
      </c>
      <c r="G35" s="7">
        <f t="shared" si="68"/>
        <v>3104172.9600000018</v>
      </c>
      <c r="H35" s="148" t="s">
        <v>833</v>
      </c>
      <c r="J35" s="148">
        <f t="shared" si="3"/>
        <v>3104172.9600000018</v>
      </c>
      <c r="K35" s="148">
        <f t="shared" si="0"/>
        <v>0</v>
      </c>
      <c r="L35" s="225" t="s">
        <v>817</v>
      </c>
      <c r="M35" s="130">
        <f t="shared" si="69"/>
        <v>-11342</v>
      </c>
      <c r="N35" s="130">
        <f t="shared" si="70"/>
        <v>-11377</v>
      </c>
      <c r="O35" s="130">
        <f t="shared" si="71"/>
        <v>-8273</v>
      </c>
      <c r="P35" s="130">
        <f t="shared" si="7"/>
        <v>-6320</v>
      </c>
      <c r="Q35" s="130">
        <f t="shared" si="72"/>
        <v>3104</v>
      </c>
    </row>
    <row r="36" spans="1:17" ht="15.5" x14ac:dyDescent="0.35">
      <c r="A36" s="220"/>
      <c r="B36" s="205" t="s">
        <v>13</v>
      </c>
      <c r="C36" s="13">
        <f>'lisa2 Detailne kulude jaotus'!D153</f>
        <v>-7096640</v>
      </c>
      <c r="D36" s="13">
        <f>'lisa2 Detailne kulude jaotus'!E153</f>
        <v>-7103704.6400000006</v>
      </c>
      <c r="E36" s="13">
        <f>'lisa2 Detailne kulude jaotus'!F153</f>
        <v>-4109063.64</v>
      </c>
      <c r="F36" s="13">
        <v>-2698697.47</v>
      </c>
      <c r="G36" s="7">
        <f t="shared" si="68"/>
        <v>2994641.0000000005</v>
      </c>
      <c r="J36" s="148">
        <f t="shared" si="3"/>
        <v>2994641.0000000005</v>
      </c>
      <c r="K36" s="148">
        <f t="shared" si="0"/>
        <v>0</v>
      </c>
      <c r="L36" s="160" t="s">
        <v>804</v>
      </c>
      <c r="M36" s="130">
        <f t="shared" si="69"/>
        <v>-7097</v>
      </c>
      <c r="N36" s="130">
        <f t="shared" si="70"/>
        <v>-7104</v>
      </c>
      <c r="O36" s="130">
        <f t="shared" si="71"/>
        <v>-4109</v>
      </c>
      <c r="P36" s="130">
        <f t="shared" si="7"/>
        <v>-2699</v>
      </c>
      <c r="Q36" s="130">
        <f t="shared" si="72"/>
        <v>2995</v>
      </c>
    </row>
    <row r="37" spans="1:17" ht="15.5" x14ac:dyDescent="0.35">
      <c r="A37" s="220" t="s">
        <v>941</v>
      </c>
      <c r="B37" s="205"/>
      <c r="C37" s="13">
        <f>'lisa2 Detailne kulude jaotus'!D175</f>
        <v>-3124937</v>
      </c>
      <c r="D37" s="13">
        <f>'lisa2 Detailne kulude jaotus'!E175</f>
        <v>-3127769</v>
      </c>
      <c r="E37" s="13">
        <f>'lisa2 Detailne kulude jaotus'!F175</f>
        <v>-3009560.55</v>
      </c>
      <c r="F37" s="13">
        <v>-2593646.0499999998</v>
      </c>
      <c r="G37" s="7">
        <f t="shared" si="68"/>
        <v>118208.45000000019</v>
      </c>
      <c r="H37" s="148" t="s">
        <v>834</v>
      </c>
      <c r="J37" s="148">
        <f t="shared" si="3"/>
        <v>118208.45000000019</v>
      </c>
      <c r="K37" s="148">
        <f t="shared" si="0"/>
        <v>0</v>
      </c>
      <c r="L37" s="225" t="s">
        <v>941</v>
      </c>
      <c r="M37" s="130">
        <f t="shared" si="69"/>
        <v>-3125</v>
      </c>
      <c r="N37" s="130">
        <f t="shared" si="70"/>
        <v>-3128</v>
      </c>
      <c r="O37" s="130">
        <f t="shared" si="71"/>
        <v>-3010</v>
      </c>
      <c r="P37" s="130">
        <f t="shared" si="7"/>
        <v>-2594</v>
      </c>
      <c r="Q37" s="130">
        <f t="shared" si="72"/>
        <v>118</v>
      </c>
    </row>
    <row r="38" spans="1:17" ht="15.5" x14ac:dyDescent="0.35">
      <c r="A38" s="220"/>
      <c r="B38" s="205" t="s">
        <v>13</v>
      </c>
      <c r="C38" s="13">
        <f>'lisa2 Detailne kulude jaotus'!D176</f>
        <v>-391400</v>
      </c>
      <c r="D38" s="13">
        <f>'lisa2 Detailne kulude jaotus'!E176</f>
        <v>-386132</v>
      </c>
      <c r="E38" s="13">
        <f>'lisa2 Detailne kulude jaotus'!F176</f>
        <v>-326432.55</v>
      </c>
      <c r="F38" s="13">
        <v>-398682.83</v>
      </c>
      <c r="G38" s="7">
        <f t="shared" si="68"/>
        <v>59699.450000000012</v>
      </c>
      <c r="J38" s="148">
        <f t="shared" si="3"/>
        <v>59699.450000000012</v>
      </c>
      <c r="K38" s="148">
        <f t="shared" si="0"/>
        <v>0</v>
      </c>
      <c r="L38" s="160" t="s">
        <v>804</v>
      </c>
      <c r="M38" s="130">
        <f t="shared" si="69"/>
        <v>-391</v>
      </c>
      <c r="N38" s="130">
        <f t="shared" si="70"/>
        <v>-386</v>
      </c>
      <c r="O38" s="130">
        <f t="shared" si="71"/>
        <v>-326</v>
      </c>
      <c r="P38" s="130">
        <f t="shared" si="7"/>
        <v>-399</v>
      </c>
      <c r="Q38" s="130">
        <f t="shared" si="72"/>
        <v>60</v>
      </c>
    </row>
    <row r="39" spans="1:17" ht="15.5" x14ac:dyDescent="0.35">
      <c r="A39" s="220" t="s">
        <v>818</v>
      </c>
      <c r="B39" s="205"/>
      <c r="C39" s="13">
        <f>'lisa2 Detailne kulude jaotus'!D200</f>
        <v>-43426724</v>
      </c>
      <c r="D39" s="13">
        <f>'lisa2 Detailne kulude jaotus'!E200</f>
        <v>-48737595.509999998</v>
      </c>
      <c r="E39" s="13">
        <f>'lisa2 Detailne kulude jaotus'!F200</f>
        <v>-48737595.509999998</v>
      </c>
      <c r="F39" s="13">
        <v>-45243617.490000002</v>
      </c>
      <c r="G39" s="7">
        <f t="shared" si="68"/>
        <v>0</v>
      </c>
      <c r="H39" s="148" t="s">
        <v>835</v>
      </c>
      <c r="J39" s="148">
        <f t="shared" si="3"/>
        <v>0</v>
      </c>
      <c r="K39" s="148">
        <f t="shared" si="0"/>
        <v>0</v>
      </c>
      <c r="L39" s="225" t="s">
        <v>818</v>
      </c>
      <c r="M39" s="130">
        <f t="shared" si="69"/>
        <v>-43427</v>
      </c>
      <c r="N39" s="130">
        <f t="shared" si="70"/>
        <v>-48738</v>
      </c>
      <c r="O39" s="130">
        <f t="shared" si="71"/>
        <v>-48738</v>
      </c>
      <c r="P39" s="130">
        <f t="shared" si="7"/>
        <v>-45244</v>
      </c>
      <c r="Q39" s="130">
        <f t="shared" si="72"/>
        <v>0</v>
      </c>
    </row>
    <row r="40" spans="1:17" ht="15.5" x14ac:dyDescent="0.35">
      <c r="A40" s="220"/>
      <c r="B40" s="205" t="s">
        <v>13</v>
      </c>
      <c r="C40" s="13">
        <f>'lisa2 Detailne kulude jaotus'!D201</f>
        <v>-43426724</v>
      </c>
      <c r="D40" s="13">
        <f>'lisa2 Detailne kulude jaotus'!E201</f>
        <v>-48737595.509999998</v>
      </c>
      <c r="E40" s="13">
        <f>'lisa2 Detailne kulude jaotus'!F201</f>
        <v>-48737595.509999998</v>
      </c>
      <c r="F40" s="13">
        <v>-45243617.490000002</v>
      </c>
      <c r="G40" s="7">
        <f t="shared" si="68"/>
        <v>0</v>
      </c>
      <c r="J40" s="148">
        <f t="shared" si="3"/>
        <v>0</v>
      </c>
      <c r="K40" s="148">
        <f t="shared" si="0"/>
        <v>0</v>
      </c>
      <c r="L40" s="160" t="s">
        <v>804</v>
      </c>
      <c r="M40" s="130">
        <f t="shared" si="69"/>
        <v>-43427</v>
      </c>
      <c r="N40" s="130">
        <f t="shared" si="70"/>
        <v>-48738</v>
      </c>
      <c r="O40" s="130">
        <f t="shared" si="71"/>
        <v>-48738</v>
      </c>
      <c r="P40" s="130">
        <f t="shared" si="7"/>
        <v>-45244</v>
      </c>
      <c r="Q40" s="130">
        <f t="shared" si="72"/>
        <v>0</v>
      </c>
    </row>
    <row r="41" spans="1:17" ht="15.5" x14ac:dyDescent="0.35">
      <c r="A41" s="220" t="s">
        <v>819</v>
      </c>
      <c r="B41" s="205"/>
      <c r="C41" s="13">
        <f>'lisa2 Detailne kulude jaotus'!D208</f>
        <v>-15370715</v>
      </c>
      <c r="D41" s="13">
        <f>'lisa2 Detailne kulude jaotus'!E208</f>
        <v>-24292056.780000001</v>
      </c>
      <c r="E41" s="13">
        <f>'lisa2 Detailne kulude jaotus'!F208</f>
        <v>-24083585.689999998</v>
      </c>
      <c r="F41" s="13">
        <v>-39093106.810000002</v>
      </c>
      <c r="G41" s="7">
        <f t="shared" ref="G41:G42" si="73">E41-D41</f>
        <v>208471.09000000358</v>
      </c>
      <c r="H41" s="148" t="s">
        <v>836</v>
      </c>
      <c r="J41" s="148">
        <f t="shared" ref="J41:J42" si="74">E41-D41</f>
        <v>208471.09000000358</v>
      </c>
      <c r="K41" s="148">
        <f t="shared" si="0"/>
        <v>0</v>
      </c>
      <c r="L41" s="225" t="s">
        <v>819</v>
      </c>
      <c r="M41" s="130">
        <f t="shared" ref="M41:M42" si="75">ROUND(C41/1000,0)</f>
        <v>-15371</v>
      </c>
      <c r="N41" s="130">
        <f t="shared" ref="N41:N42" si="76">ROUND(D41/1000,0)</f>
        <v>-24292</v>
      </c>
      <c r="O41" s="130">
        <f t="shared" ref="O41:O42" si="77">ROUND(E41/1000,0)</f>
        <v>-24084</v>
      </c>
      <c r="P41" s="130">
        <f t="shared" ref="P41:P42" si="78">ROUND(F41/1000,0)</f>
        <v>-39093</v>
      </c>
      <c r="Q41" s="130">
        <f t="shared" ref="Q41:Q42" si="79">ROUND(G41/1000,0)</f>
        <v>208</v>
      </c>
    </row>
    <row r="42" spans="1:17" ht="15.5" x14ac:dyDescent="0.35">
      <c r="A42" s="220"/>
      <c r="B42" s="205" t="s">
        <v>13</v>
      </c>
      <c r="C42" s="13">
        <f>'lisa2 Detailne kulude jaotus'!D209</f>
        <v>-15370715</v>
      </c>
      <c r="D42" s="13">
        <f>'lisa2 Detailne kulude jaotus'!E209</f>
        <v>-24292056.780000001</v>
      </c>
      <c r="E42" s="13">
        <f>'lisa2 Detailne kulude jaotus'!F209</f>
        <v>-24083585.689999998</v>
      </c>
      <c r="F42" s="13">
        <v>-34093106.810000002</v>
      </c>
      <c r="G42" s="7">
        <f t="shared" si="73"/>
        <v>208471.09000000358</v>
      </c>
      <c r="J42" s="148">
        <f t="shared" si="74"/>
        <v>208471.09000000358</v>
      </c>
      <c r="K42" s="148">
        <f t="shared" ref="K42:K88" si="80">J42-G42</f>
        <v>0</v>
      </c>
      <c r="L42" s="160" t="s">
        <v>804</v>
      </c>
      <c r="M42" s="130">
        <f t="shared" si="75"/>
        <v>-15371</v>
      </c>
      <c r="N42" s="130">
        <f t="shared" si="76"/>
        <v>-24292</v>
      </c>
      <c r="O42" s="130">
        <f t="shared" si="77"/>
        <v>-24084</v>
      </c>
      <c r="P42" s="130">
        <f t="shared" si="78"/>
        <v>-34093</v>
      </c>
      <c r="Q42" s="130">
        <f t="shared" si="79"/>
        <v>208</v>
      </c>
    </row>
    <row r="43" spans="1:17" ht="15.5" x14ac:dyDescent="0.35">
      <c r="A43" s="220" t="s">
        <v>820</v>
      </c>
      <c r="B43" s="205"/>
      <c r="C43" s="13">
        <f>'lisa2 Detailne kulude jaotus'!D216</f>
        <v>-14762277</v>
      </c>
      <c r="D43" s="13">
        <f>'lisa2 Detailne kulude jaotus'!E216</f>
        <v>-16305293.800000001</v>
      </c>
      <c r="E43" s="13">
        <f>'lisa2 Detailne kulude jaotus'!F216</f>
        <v>-15102624.09</v>
      </c>
      <c r="F43" s="13">
        <v>-11281374.91</v>
      </c>
      <c r="G43" s="7">
        <f t="shared" ref="G43:G44" si="81">E43-D43</f>
        <v>1202669.7100000009</v>
      </c>
      <c r="H43" s="148" t="s">
        <v>837</v>
      </c>
      <c r="J43" s="148">
        <f t="shared" ref="J43:J44" si="82">E43-D43</f>
        <v>1202669.7100000009</v>
      </c>
      <c r="K43" s="148">
        <f t="shared" si="80"/>
        <v>0</v>
      </c>
      <c r="L43" s="225" t="s">
        <v>820</v>
      </c>
      <c r="M43" s="130">
        <f t="shared" ref="M43:M44" si="83">ROUND(C43/1000,0)</f>
        <v>-14762</v>
      </c>
      <c r="N43" s="130">
        <f t="shared" ref="N43:N44" si="84">ROUND(D43/1000,0)</f>
        <v>-16305</v>
      </c>
      <c r="O43" s="130">
        <f t="shared" ref="O43:O44" si="85">ROUND(E43/1000,0)</f>
        <v>-15103</v>
      </c>
      <c r="P43" s="130">
        <f t="shared" ref="P43:P44" si="86">ROUND(F43/1000,0)</f>
        <v>-11281</v>
      </c>
      <c r="Q43" s="130">
        <f t="shared" ref="Q43:Q44" si="87">ROUND(G43/1000,0)</f>
        <v>1203</v>
      </c>
    </row>
    <row r="44" spans="1:17" ht="15.5" x14ac:dyDescent="0.35">
      <c r="A44" s="220"/>
      <c r="B44" s="205" t="s">
        <v>13</v>
      </c>
      <c r="C44" s="13">
        <f>'lisa2 Detailne kulude jaotus'!D217</f>
        <v>-10853927</v>
      </c>
      <c r="D44" s="13">
        <f>'lisa2 Detailne kulude jaotus'!E217</f>
        <v>-11624816.050000001</v>
      </c>
      <c r="E44" s="13">
        <f>'lisa2 Detailne kulude jaotus'!F217</f>
        <v>-10881835.040000001</v>
      </c>
      <c r="F44" s="13">
        <v>-7545786.0700000003</v>
      </c>
      <c r="G44" s="7">
        <f t="shared" si="81"/>
        <v>742981.00999999978</v>
      </c>
      <c r="J44" s="148">
        <f t="shared" si="82"/>
        <v>742981.00999999978</v>
      </c>
      <c r="K44" s="148">
        <f t="shared" si="80"/>
        <v>0</v>
      </c>
      <c r="L44" s="160" t="s">
        <v>804</v>
      </c>
      <c r="M44" s="130">
        <f t="shared" si="83"/>
        <v>-10854</v>
      </c>
      <c r="N44" s="130">
        <f t="shared" si="84"/>
        <v>-11625</v>
      </c>
      <c r="O44" s="130">
        <f t="shared" si="85"/>
        <v>-10882</v>
      </c>
      <c r="P44" s="130">
        <f t="shared" si="86"/>
        <v>-7546</v>
      </c>
      <c r="Q44" s="130">
        <f t="shared" si="87"/>
        <v>743</v>
      </c>
    </row>
    <row r="45" spans="1:17" ht="15.5" x14ac:dyDescent="0.35">
      <c r="A45" s="220" t="s">
        <v>942</v>
      </c>
      <c r="B45" s="205"/>
      <c r="C45" s="13">
        <f>'lisa2 Detailne kulude jaotus'!D251</f>
        <v>-50990573</v>
      </c>
      <c r="D45" s="13">
        <f>'lisa2 Detailne kulude jaotus'!E251</f>
        <v>-108290635.55</v>
      </c>
      <c r="E45" s="13">
        <f>'lisa2 Detailne kulude jaotus'!F251</f>
        <v>-59835275.480976015</v>
      </c>
      <c r="F45" s="13">
        <v>-58783898.189999998</v>
      </c>
      <c r="G45" s="7">
        <f t="shared" si="68"/>
        <v>48455360.069023982</v>
      </c>
      <c r="H45" s="148" t="s">
        <v>885</v>
      </c>
      <c r="J45" s="148">
        <f t="shared" si="3"/>
        <v>48455360.069023982</v>
      </c>
      <c r="K45" s="148">
        <f t="shared" si="80"/>
        <v>0</v>
      </c>
      <c r="L45" s="225" t="s">
        <v>942</v>
      </c>
      <c r="M45" s="130">
        <f t="shared" si="69"/>
        <v>-50991</v>
      </c>
      <c r="N45" s="130">
        <f t="shared" si="70"/>
        <v>-108291</v>
      </c>
      <c r="O45" s="130">
        <f t="shared" si="71"/>
        <v>-59835</v>
      </c>
      <c r="P45" s="130">
        <f t="shared" si="7"/>
        <v>-58784</v>
      </c>
      <c r="Q45" s="130">
        <f t="shared" si="72"/>
        <v>48455</v>
      </c>
    </row>
    <row r="46" spans="1:17" ht="15.5" x14ac:dyDescent="0.35">
      <c r="A46" s="220"/>
      <c r="B46" s="205" t="s">
        <v>13</v>
      </c>
      <c r="C46" s="13">
        <f>'lisa2 Detailne kulude jaotus'!D252</f>
        <v>-47138362</v>
      </c>
      <c r="D46" s="13">
        <f>'lisa2 Detailne kulude jaotus'!E252</f>
        <v>-59326065.170000002</v>
      </c>
      <c r="E46" s="13">
        <f>'lisa2 Detailne kulude jaotus'!F252</f>
        <v>-53071486.030000009</v>
      </c>
      <c r="F46" s="13">
        <v>-49879199.990000002</v>
      </c>
      <c r="G46" s="7">
        <f t="shared" si="68"/>
        <v>6254579.1399999931</v>
      </c>
      <c r="J46" s="148">
        <f t="shared" si="3"/>
        <v>6254579.1399999931</v>
      </c>
      <c r="K46" s="148">
        <f t="shared" si="80"/>
        <v>0</v>
      </c>
      <c r="L46" s="160" t="s">
        <v>804</v>
      </c>
      <c r="M46" s="130">
        <f t="shared" si="69"/>
        <v>-47138</v>
      </c>
      <c r="N46" s="130">
        <f t="shared" si="70"/>
        <v>-59326</v>
      </c>
      <c r="O46" s="130">
        <f t="shared" si="71"/>
        <v>-53071</v>
      </c>
      <c r="P46" s="130">
        <f t="shared" si="7"/>
        <v>-49879</v>
      </c>
      <c r="Q46" s="130">
        <f t="shared" si="72"/>
        <v>6255</v>
      </c>
    </row>
    <row r="47" spans="1:17" ht="15.5" x14ac:dyDescent="0.35">
      <c r="A47" s="220" t="s">
        <v>913</v>
      </c>
      <c r="B47" s="205"/>
      <c r="C47" s="13">
        <f>'lisa2 Detailne kulude jaotus'!D374</f>
        <v>-2637930</v>
      </c>
      <c r="D47" s="13">
        <f>'lisa2 Detailne kulude jaotus'!E374</f>
        <v>-2937732</v>
      </c>
      <c r="E47" s="13">
        <f>'lisa2 Detailne kulude jaotus'!F374</f>
        <v>-2827241.06</v>
      </c>
      <c r="F47" s="13">
        <v>-889066.03</v>
      </c>
      <c r="G47" s="7">
        <f t="shared" si="68"/>
        <v>110490.93999999994</v>
      </c>
      <c r="H47" s="148" t="s">
        <v>838</v>
      </c>
      <c r="J47" s="148">
        <f t="shared" si="3"/>
        <v>110490.93999999994</v>
      </c>
      <c r="K47" s="148">
        <f t="shared" si="80"/>
        <v>0</v>
      </c>
      <c r="L47" s="225" t="s">
        <v>913</v>
      </c>
      <c r="M47" s="130">
        <f t="shared" si="69"/>
        <v>-2638</v>
      </c>
      <c r="N47" s="130">
        <f t="shared" si="70"/>
        <v>-2938</v>
      </c>
      <c r="O47" s="130">
        <f t="shared" si="71"/>
        <v>-2827</v>
      </c>
      <c r="P47" s="130">
        <f t="shared" si="7"/>
        <v>-889</v>
      </c>
      <c r="Q47" s="130">
        <f t="shared" si="72"/>
        <v>110</v>
      </c>
    </row>
    <row r="48" spans="1:17" ht="15.5" x14ac:dyDescent="0.35">
      <c r="A48" s="220"/>
      <c r="B48" s="205" t="s">
        <v>13</v>
      </c>
      <c r="C48" s="13">
        <f>'lisa2 Detailne kulude jaotus'!D375</f>
        <v>-19000</v>
      </c>
      <c r="D48" s="13">
        <f>'lisa2 Detailne kulude jaotus'!E375</f>
        <v>-39000</v>
      </c>
      <c r="E48" s="13">
        <f>'lisa2 Detailne kulude jaotus'!F375</f>
        <v>-13105.810000000001</v>
      </c>
      <c r="F48" s="13">
        <v>-253.22</v>
      </c>
      <c r="G48" s="7">
        <f t="shared" si="68"/>
        <v>25894.19</v>
      </c>
      <c r="J48" s="148">
        <f t="shared" si="3"/>
        <v>25894.19</v>
      </c>
      <c r="K48" s="148">
        <f t="shared" si="80"/>
        <v>0</v>
      </c>
      <c r="L48" s="160" t="s">
        <v>804</v>
      </c>
      <c r="M48" s="130">
        <f t="shared" si="69"/>
        <v>-19</v>
      </c>
      <c r="N48" s="130">
        <f t="shared" si="70"/>
        <v>-39</v>
      </c>
      <c r="O48" s="130">
        <f t="shared" si="71"/>
        <v>-13</v>
      </c>
      <c r="P48" s="130">
        <f t="shared" si="7"/>
        <v>0</v>
      </c>
      <c r="Q48" s="130">
        <f t="shared" si="72"/>
        <v>26</v>
      </c>
    </row>
    <row r="49" spans="1:17" ht="15.5" x14ac:dyDescent="0.35">
      <c r="A49" s="220" t="s">
        <v>821</v>
      </c>
      <c r="B49" s="205"/>
      <c r="C49" s="13">
        <f>'lisa2 Detailne kulude jaotus'!D389</f>
        <v>-2466276</v>
      </c>
      <c r="D49" s="13">
        <f>'lisa2 Detailne kulude jaotus'!E389</f>
        <v>-2955426.78</v>
      </c>
      <c r="E49" s="13">
        <f>'lisa2 Detailne kulude jaotus'!F389</f>
        <v>-2598290.23</v>
      </c>
      <c r="F49" s="13">
        <v>-7545664.3600000003</v>
      </c>
      <c r="G49" s="7">
        <f t="shared" si="68"/>
        <v>357136.54999999981</v>
      </c>
      <c r="H49" s="148" t="s">
        <v>839</v>
      </c>
      <c r="J49" s="148">
        <f t="shared" si="3"/>
        <v>357136.54999999981</v>
      </c>
      <c r="K49" s="148">
        <f t="shared" si="80"/>
        <v>0</v>
      </c>
      <c r="L49" s="225" t="s">
        <v>821</v>
      </c>
      <c r="M49" s="130">
        <f t="shared" si="69"/>
        <v>-2466</v>
      </c>
      <c r="N49" s="130">
        <f t="shared" si="70"/>
        <v>-2955</v>
      </c>
      <c r="O49" s="130">
        <f t="shared" si="71"/>
        <v>-2598</v>
      </c>
      <c r="P49" s="130">
        <f t="shared" si="7"/>
        <v>-7546</v>
      </c>
      <c r="Q49" s="130">
        <f t="shared" si="72"/>
        <v>357</v>
      </c>
    </row>
    <row r="50" spans="1:17" ht="15.5" x14ac:dyDescent="0.35">
      <c r="A50" s="220"/>
      <c r="B50" s="205" t="s">
        <v>13</v>
      </c>
      <c r="C50" s="13">
        <f>'lisa2 Detailne kulude jaotus'!D390</f>
        <v>-2452876</v>
      </c>
      <c r="D50" s="13">
        <f>'lisa2 Detailne kulude jaotus'!E390</f>
        <v>-2893591</v>
      </c>
      <c r="E50" s="13">
        <f>'lisa2 Detailne kulude jaotus'!F390</f>
        <v>-2548181.7200000002</v>
      </c>
      <c r="F50" s="13">
        <v>-7431373.7999999998</v>
      </c>
      <c r="G50" s="7">
        <f t="shared" si="68"/>
        <v>345409.2799999998</v>
      </c>
      <c r="J50" s="148">
        <f t="shared" si="3"/>
        <v>345409.2799999998</v>
      </c>
      <c r="K50" s="148">
        <f t="shared" si="80"/>
        <v>0</v>
      </c>
      <c r="L50" s="160" t="s">
        <v>804</v>
      </c>
      <c r="M50" s="130">
        <f t="shared" si="69"/>
        <v>-2453</v>
      </c>
      <c r="N50" s="130">
        <f t="shared" si="70"/>
        <v>-2894</v>
      </c>
      <c r="O50" s="130">
        <f t="shared" si="71"/>
        <v>-2548</v>
      </c>
      <c r="P50" s="130">
        <f t="shared" si="7"/>
        <v>-7431</v>
      </c>
      <c r="Q50" s="130">
        <f t="shared" si="72"/>
        <v>345</v>
      </c>
    </row>
    <row r="51" spans="1:17" ht="15.5" x14ac:dyDescent="0.35">
      <c r="A51" s="220" t="s">
        <v>822</v>
      </c>
      <c r="B51" s="205"/>
      <c r="C51" s="13">
        <f>'lisa2 Detailne kulude jaotus'!D403</f>
        <v>-2708023</v>
      </c>
      <c r="D51" s="13">
        <f>'lisa2 Detailne kulude jaotus'!E403</f>
        <v>-2626969.69</v>
      </c>
      <c r="E51" s="13">
        <f>'lisa2 Detailne kulude jaotus'!F403</f>
        <v>-2626969.69</v>
      </c>
      <c r="F51" s="13">
        <v>-1867384.57</v>
      </c>
      <c r="G51" s="7">
        <f t="shared" si="68"/>
        <v>0</v>
      </c>
      <c r="H51" s="148" t="s">
        <v>840</v>
      </c>
      <c r="J51" s="148">
        <f t="shared" si="3"/>
        <v>0</v>
      </c>
      <c r="K51" s="148">
        <f t="shared" si="80"/>
        <v>0</v>
      </c>
      <c r="L51" s="225" t="s">
        <v>822</v>
      </c>
      <c r="M51" s="130">
        <f t="shared" si="69"/>
        <v>-2708</v>
      </c>
      <c r="N51" s="130">
        <f t="shared" si="70"/>
        <v>-2627</v>
      </c>
      <c r="O51" s="130">
        <f t="shared" si="71"/>
        <v>-2627</v>
      </c>
      <c r="P51" s="130">
        <f t="shared" si="7"/>
        <v>-1867</v>
      </c>
      <c r="Q51" s="130">
        <f t="shared" si="72"/>
        <v>0</v>
      </c>
    </row>
    <row r="52" spans="1:17" ht="15.5" x14ac:dyDescent="0.35">
      <c r="A52" s="220"/>
      <c r="B52" s="205" t="s">
        <v>13</v>
      </c>
      <c r="C52" s="13">
        <v>0</v>
      </c>
      <c r="D52" s="7">
        <f>'lisa2 Detailne kulude jaotus'!E404</f>
        <v>-14.43</v>
      </c>
      <c r="E52" s="13">
        <f>'lisa2 Detailne kulude jaotus'!F404</f>
        <v>-14.43</v>
      </c>
      <c r="F52" s="13">
        <v>0</v>
      </c>
      <c r="G52" s="7">
        <f t="shared" si="68"/>
        <v>0</v>
      </c>
      <c r="J52" s="148">
        <f t="shared" si="3"/>
        <v>0</v>
      </c>
      <c r="K52" s="148">
        <f t="shared" si="80"/>
        <v>0</v>
      </c>
      <c r="L52" s="160" t="s">
        <v>804</v>
      </c>
      <c r="M52" s="130">
        <f t="shared" si="69"/>
        <v>0</v>
      </c>
      <c r="N52" s="130">
        <f t="shared" si="70"/>
        <v>0</v>
      </c>
      <c r="O52" s="130">
        <f t="shared" si="71"/>
        <v>0</v>
      </c>
      <c r="P52" s="130">
        <f t="shared" si="7"/>
        <v>0</v>
      </c>
      <c r="Q52" s="130">
        <f t="shared" si="72"/>
        <v>0</v>
      </c>
    </row>
    <row r="53" spans="1:17" ht="15.5" x14ac:dyDescent="0.35">
      <c r="A53" s="220" t="s">
        <v>1075</v>
      </c>
      <c r="B53" s="205"/>
      <c r="C53" s="13">
        <f>'lisa2 Detailne kulude jaotus'!D414</f>
        <v>-30473248</v>
      </c>
      <c r="D53" s="13">
        <f>'lisa2 Detailne kulude jaotus'!E414</f>
        <v>-35757983.140000001</v>
      </c>
      <c r="E53" s="13">
        <f>'lisa2 Detailne kulude jaotus'!F414</f>
        <v>-32683252.82</v>
      </c>
      <c r="F53" s="13">
        <v>-28260283.260000002</v>
      </c>
      <c r="G53" s="7">
        <f t="shared" si="68"/>
        <v>3074730.3200000003</v>
      </c>
      <c r="H53" s="148" t="s">
        <v>841</v>
      </c>
      <c r="J53" s="148">
        <f t="shared" si="3"/>
        <v>3074730.3200000003</v>
      </c>
      <c r="K53" s="148">
        <f t="shared" si="80"/>
        <v>0</v>
      </c>
      <c r="L53" s="225" t="s">
        <v>823</v>
      </c>
      <c r="M53" s="130">
        <f t="shared" si="69"/>
        <v>-30473</v>
      </c>
      <c r="N53" s="130">
        <f t="shared" si="70"/>
        <v>-35758</v>
      </c>
      <c r="O53" s="130">
        <f t="shared" si="71"/>
        <v>-32683</v>
      </c>
      <c r="P53" s="130">
        <f t="shared" si="7"/>
        <v>-28260</v>
      </c>
      <c r="Q53" s="130">
        <f t="shared" si="72"/>
        <v>3075</v>
      </c>
    </row>
    <row r="54" spans="1:17" ht="15.5" x14ac:dyDescent="0.35">
      <c r="A54" s="202"/>
      <c r="B54" s="205" t="s">
        <v>13</v>
      </c>
      <c r="C54" s="13">
        <f>'lisa2 Detailne kulude jaotus'!D415</f>
        <v>-11904749</v>
      </c>
      <c r="D54" s="13">
        <f>'lisa2 Detailne kulude jaotus'!E415</f>
        <v>-17186431.59</v>
      </c>
      <c r="E54" s="13">
        <f>'lisa2 Detailne kulude jaotus'!F415</f>
        <v>-13425869.25</v>
      </c>
      <c r="F54" s="13">
        <v>-11711100.380000001</v>
      </c>
      <c r="G54" s="7">
        <f t="shared" si="68"/>
        <v>3760562.34</v>
      </c>
      <c r="J54" s="148">
        <f t="shared" si="3"/>
        <v>3760562.34</v>
      </c>
      <c r="K54" s="148">
        <f t="shared" si="80"/>
        <v>0</v>
      </c>
      <c r="L54" s="160" t="s">
        <v>804</v>
      </c>
      <c r="M54" s="130">
        <f t="shared" si="69"/>
        <v>-11905</v>
      </c>
      <c r="N54" s="130">
        <f t="shared" si="70"/>
        <v>-17186</v>
      </c>
      <c r="O54" s="130">
        <f t="shared" si="71"/>
        <v>-13426</v>
      </c>
      <c r="P54" s="130">
        <f t="shared" si="7"/>
        <v>-11711</v>
      </c>
      <c r="Q54" s="130">
        <f t="shared" si="72"/>
        <v>3761</v>
      </c>
    </row>
    <row r="55" spans="1:17" ht="15.5" x14ac:dyDescent="0.35">
      <c r="A55" s="217" t="s">
        <v>824</v>
      </c>
      <c r="B55" s="201"/>
      <c r="C55" s="15">
        <f>C57+C59+C61</f>
        <v>-46134757</v>
      </c>
      <c r="D55" s="15">
        <f t="shared" ref="D55:E56" si="88">D57+D59+D61</f>
        <v>-50865227.260000005</v>
      </c>
      <c r="E55" s="15">
        <f t="shared" si="88"/>
        <v>-49705671.520000003</v>
      </c>
      <c r="F55" s="15">
        <f t="shared" ref="F55" si="89">F57+F59+F61</f>
        <v>-59798129.289999999</v>
      </c>
      <c r="G55" s="15">
        <f t="shared" ref="G55" si="90">G57+G59+G61</f>
        <v>1159555.7399999949</v>
      </c>
      <c r="J55" s="148">
        <f t="shared" si="3"/>
        <v>1159555.7400000021</v>
      </c>
      <c r="K55" s="148">
        <f t="shared" si="80"/>
        <v>7.2177499532699585E-9</v>
      </c>
      <c r="L55" s="223" t="s">
        <v>824</v>
      </c>
      <c r="M55" s="133">
        <f t="shared" ref="M55:M56" si="91">ROUND(C55/1000,0)</f>
        <v>-46135</v>
      </c>
      <c r="N55" s="133">
        <f t="shared" ref="N55:N56" si="92">ROUND(D55/1000,0)</f>
        <v>-50865</v>
      </c>
      <c r="O55" s="133">
        <f t="shared" ref="O55:O56" si="93">ROUND(E55/1000,0)</f>
        <v>-49706</v>
      </c>
      <c r="P55" s="133">
        <f t="shared" ref="P55:P62" si="94">ROUND(F55/1000,0)</f>
        <v>-59798</v>
      </c>
      <c r="Q55" s="133">
        <f t="shared" ref="Q55:Q56" si="95">ROUND(G55/1000,0)</f>
        <v>1160</v>
      </c>
    </row>
    <row r="56" spans="1:17" ht="15.5" x14ac:dyDescent="0.35">
      <c r="A56" s="211"/>
      <c r="B56" s="205" t="s">
        <v>13</v>
      </c>
      <c r="C56" s="13">
        <f>C58+C60+C62</f>
        <v>-41890914</v>
      </c>
      <c r="D56" s="13">
        <f t="shared" si="88"/>
        <v>-46515139.359999999</v>
      </c>
      <c r="E56" s="13">
        <f t="shared" si="88"/>
        <v>-45568410.520000003</v>
      </c>
      <c r="F56" s="13">
        <f t="shared" ref="F56" si="96">F58+F60+F62</f>
        <v>-55850084.990000002</v>
      </c>
      <c r="G56" s="13">
        <f t="shared" ref="G56" si="97">G58+G60+G62</f>
        <v>946728.83999999659</v>
      </c>
      <c r="J56" s="148">
        <f t="shared" si="3"/>
        <v>946728.83999999613</v>
      </c>
      <c r="K56" s="148">
        <f t="shared" si="80"/>
        <v>0</v>
      </c>
      <c r="L56" s="160" t="s">
        <v>804</v>
      </c>
      <c r="M56" s="130">
        <f t="shared" si="91"/>
        <v>-41891</v>
      </c>
      <c r="N56" s="130">
        <f t="shared" si="92"/>
        <v>-46515</v>
      </c>
      <c r="O56" s="130">
        <f t="shared" si="93"/>
        <v>-45568</v>
      </c>
      <c r="P56" s="130">
        <f t="shared" si="94"/>
        <v>-55850</v>
      </c>
      <c r="Q56" s="130">
        <f t="shared" si="95"/>
        <v>947</v>
      </c>
    </row>
    <row r="57" spans="1:17" ht="15.5" x14ac:dyDescent="0.35">
      <c r="A57" s="220" t="s">
        <v>825</v>
      </c>
      <c r="B57" s="200"/>
      <c r="C57" s="13">
        <f>'lisa2 Detailne kulude jaotus'!D448</f>
        <v>-42685361</v>
      </c>
      <c r="D57" s="13">
        <f>'lisa2 Detailne kulude jaotus'!E448</f>
        <v>-46938495.350000001</v>
      </c>
      <c r="E57" s="13">
        <f>'lisa2 Detailne kulude jaotus'!F448</f>
        <v>-46056823.900000006</v>
      </c>
      <c r="F57" s="7">
        <v>-43390950.039999999</v>
      </c>
      <c r="G57" s="7">
        <f t="shared" ref="G57:G62" si="98">E57-D57</f>
        <v>881671.44999999553</v>
      </c>
      <c r="H57" s="167" t="s">
        <v>842</v>
      </c>
      <c r="I57" s="167"/>
      <c r="J57" s="148">
        <f t="shared" si="3"/>
        <v>881671.44999999553</v>
      </c>
      <c r="K57" s="148">
        <f t="shared" si="80"/>
        <v>0</v>
      </c>
      <c r="L57" s="225" t="s">
        <v>825</v>
      </c>
      <c r="M57" s="130">
        <f t="shared" ref="M57:M58" si="99">ROUND(C57/1000,0)</f>
        <v>-42685</v>
      </c>
      <c r="N57" s="130">
        <f t="shared" ref="N57:N58" si="100">ROUND(D57/1000,0)</f>
        <v>-46938</v>
      </c>
      <c r="O57" s="130">
        <f t="shared" ref="O57:O58" si="101">ROUND(E57/1000,0)</f>
        <v>-46057</v>
      </c>
      <c r="P57" s="130">
        <f t="shared" si="94"/>
        <v>-43391</v>
      </c>
      <c r="Q57" s="130">
        <f t="shared" ref="Q57:Q58" si="102">ROUND(G57/1000,0)</f>
        <v>882</v>
      </c>
    </row>
    <row r="58" spans="1:17" ht="15.5" x14ac:dyDescent="0.35">
      <c r="A58" s="220"/>
      <c r="B58" s="205" t="s">
        <v>13</v>
      </c>
      <c r="C58" s="13">
        <f>'lisa2 Detailne kulude jaotus'!D449</f>
        <v>-38457911</v>
      </c>
      <c r="D58" s="13">
        <f>'lisa2 Detailne kulude jaotus'!E449</f>
        <v>-42711045.350000001</v>
      </c>
      <c r="E58" s="13">
        <f>'lisa2 Detailne kulude jaotus'!F449</f>
        <v>-41928183.550000004</v>
      </c>
      <c r="F58" s="7">
        <v>-39442905.740000002</v>
      </c>
      <c r="G58" s="7">
        <f t="shared" si="98"/>
        <v>782861.79999999702</v>
      </c>
      <c r="H58" s="167"/>
      <c r="I58" s="167"/>
      <c r="J58" s="148">
        <f t="shared" si="3"/>
        <v>782861.79999999702</v>
      </c>
      <c r="K58" s="148">
        <f t="shared" si="80"/>
        <v>0</v>
      </c>
      <c r="L58" s="160" t="s">
        <v>804</v>
      </c>
      <c r="M58" s="130">
        <f t="shared" si="99"/>
        <v>-38458</v>
      </c>
      <c r="N58" s="130">
        <f t="shared" si="100"/>
        <v>-42711</v>
      </c>
      <c r="O58" s="130">
        <f t="shared" si="101"/>
        <v>-41928</v>
      </c>
      <c r="P58" s="130">
        <f t="shared" si="94"/>
        <v>-39443</v>
      </c>
      <c r="Q58" s="130">
        <f t="shared" si="102"/>
        <v>783</v>
      </c>
    </row>
    <row r="59" spans="1:17" ht="15.5" x14ac:dyDescent="0.35">
      <c r="A59" s="220" t="s">
        <v>826</v>
      </c>
      <c r="B59" s="202"/>
      <c r="C59" s="13">
        <f>'lisa2 Detailne kulude jaotus'!D462</f>
        <v>-367393</v>
      </c>
      <c r="D59" s="13">
        <f>'lisa2 Detailne kulude jaotus'!E462</f>
        <v>-400425.06</v>
      </c>
      <c r="E59" s="13">
        <f>'lisa2 Detailne kulude jaotus'!F462</f>
        <v>-359620.65</v>
      </c>
      <c r="F59" s="13">
        <v>-360000</v>
      </c>
      <c r="G59" s="7">
        <f t="shared" si="98"/>
        <v>40804.409999999974</v>
      </c>
      <c r="H59" s="167" t="s">
        <v>843</v>
      </c>
      <c r="I59" s="167"/>
      <c r="J59" s="148">
        <f t="shared" si="3"/>
        <v>40804.409999999974</v>
      </c>
      <c r="K59" s="148">
        <f t="shared" si="80"/>
        <v>0</v>
      </c>
      <c r="L59" s="225" t="s">
        <v>826</v>
      </c>
      <c r="M59" s="130">
        <f t="shared" si="4"/>
        <v>-367</v>
      </c>
      <c r="N59" s="130">
        <f t="shared" si="5"/>
        <v>-400</v>
      </c>
      <c r="O59" s="130">
        <f t="shared" si="6"/>
        <v>-360</v>
      </c>
      <c r="P59" s="130">
        <f t="shared" si="94"/>
        <v>-360</v>
      </c>
      <c r="Q59" s="130">
        <f t="shared" si="8"/>
        <v>41</v>
      </c>
    </row>
    <row r="60" spans="1:17" ht="15.5" x14ac:dyDescent="0.35">
      <c r="A60" s="220"/>
      <c r="B60" s="205" t="s">
        <v>13</v>
      </c>
      <c r="C60" s="13">
        <f>'lisa2 Detailne kulude jaotus'!D463</f>
        <v>-351000</v>
      </c>
      <c r="D60" s="13">
        <f>'lisa2 Detailne kulude jaotus'!E463</f>
        <v>-351000</v>
      </c>
      <c r="E60" s="13">
        <f>'lisa2 Detailne kulude jaotus'!F463</f>
        <v>-351000</v>
      </c>
      <c r="F60" s="13">
        <v>-360000</v>
      </c>
      <c r="G60" s="7">
        <f t="shared" si="98"/>
        <v>0</v>
      </c>
      <c r="H60" s="167"/>
      <c r="I60" s="167"/>
      <c r="J60" s="148">
        <f t="shared" si="3"/>
        <v>0</v>
      </c>
      <c r="K60" s="148">
        <f t="shared" si="80"/>
        <v>0</v>
      </c>
      <c r="L60" s="160" t="s">
        <v>804</v>
      </c>
      <c r="M60" s="130">
        <f t="shared" ref="M60:M63" si="103">ROUND(C60/1000,0)</f>
        <v>-351</v>
      </c>
      <c r="N60" s="130">
        <f t="shared" ref="N60:N63" si="104">ROUND(D60/1000,0)</f>
        <v>-351</v>
      </c>
      <c r="O60" s="130">
        <f t="shared" ref="O60:O63" si="105">ROUND(E60/1000,0)</f>
        <v>-351</v>
      </c>
      <c r="P60" s="130">
        <f t="shared" si="94"/>
        <v>-360</v>
      </c>
      <c r="Q60" s="130">
        <f t="shared" ref="Q60:Q63" si="106">ROUND(G60/1000,0)</f>
        <v>0</v>
      </c>
    </row>
    <row r="61" spans="1:17" ht="15.5" x14ac:dyDescent="0.35">
      <c r="A61" s="220" t="s">
        <v>827</v>
      </c>
      <c r="B61" s="205"/>
      <c r="C61" s="13">
        <f>'lisa2 Detailne kulude jaotus'!D474</f>
        <v>-3082003</v>
      </c>
      <c r="D61" s="13">
        <f>'lisa2 Detailne kulude jaotus'!E474</f>
        <v>-3526306.8499999996</v>
      </c>
      <c r="E61" s="13">
        <f>'lisa2 Detailne kulude jaotus'!F474</f>
        <v>-3289226.97</v>
      </c>
      <c r="F61" s="13">
        <v>-16047179.25</v>
      </c>
      <c r="G61" s="7">
        <f t="shared" si="98"/>
        <v>237079.87999999942</v>
      </c>
      <c r="H61" s="167" t="s">
        <v>844</v>
      </c>
      <c r="I61" s="167"/>
      <c r="J61" s="148">
        <f t="shared" si="3"/>
        <v>237079.87999999942</v>
      </c>
      <c r="K61" s="148">
        <f t="shared" si="80"/>
        <v>0</v>
      </c>
      <c r="L61" s="225" t="s">
        <v>827</v>
      </c>
      <c r="M61" s="130">
        <f t="shared" si="103"/>
        <v>-3082</v>
      </c>
      <c r="N61" s="130">
        <f t="shared" si="104"/>
        <v>-3526</v>
      </c>
      <c r="O61" s="130">
        <f t="shared" si="105"/>
        <v>-3289</v>
      </c>
      <c r="P61" s="130">
        <f t="shared" si="94"/>
        <v>-16047</v>
      </c>
      <c r="Q61" s="130">
        <f t="shared" si="106"/>
        <v>237</v>
      </c>
    </row>
    <row r="62" spans="1:17" ht="15.5" x14ac:dyDescent="0.35">
      <c r="A62" s="221"/>
      <c r="B62" s="205" t="s">
        <v>13</v>
      </c>
      <c r="C62" s="13">
        <f>'lisa2 Detailne kulude jaotus'!D475</f>
        <v>-3082003</v>
      </c>
      <c r="D62" s="13">
        <f>'lisa2 Detailne kulude jaotus'!E475</f>
        <v>-3453094.01</v>
      </c>
      <c r="E62" s="13">
        <f>'lisa2 Detailne kulude jaotus'!F475</f>
        <v>-3289226.97</v>
      </c>
      <c r="F62" s="13">
        <v>-16047179.25</v>
      </c>
      <c r="G62" s="7">
        <f t="shared" si="98"/>
        <v>163867.03999999957</v>
      </c>
      <c r="H62" s="167"/>
      <c r="I62" s="167"/>
      <c r="J62" s="148">
        <f t="shared" si="3"/>
        <v>163867.03999999957</v>
      </c>
      <c r="K62" s="148">
        <f t="shared" si="80"/>
        <v>0</v>
      </c>
      <c r="L62" s="160" t="s">
        <v>804</v>
      </c>
      <c r="M62" s="130">
        <f t="shared" si="103"/>
        <v>-3082</v>
      </c>
      <c r="N62" s="130">
        <f t="shared" si="104"/>
        <v>-3453</v>
      </c>
      <c r="O62" s="130">
        <f t="shared" si="105"/>
        <v>-3289</v>
      </c>
      <c r="P62" s="130">
        <f t="shared" si="94"/>
        <v>-16047</v>
      </c>
      <c r="Q62" s="130">
        <f t="shared" si="106"/>
        <v>164</v>
      </c>
    </row>
    <row r="63" spans="1:17" s="51" customFormat="1" ht="15.5" x14ac:dyDescent="0.35">
      <c r="A63" s="201" t="s">
        <v>209</v>
      </c>
      <c r="B63" s="204"/>
      <c r="C63" s="15">
        <f>'lisa2 Detailne kulude jaotus'!D484</f>
        <v>-2308569</v>
      </c>
      <c r="D63" s="15">
        <f>'lisa2 Detailne kulude jaotus'!E484</f>
        <v>-2276505.04</v>
      </c>
      <c r="E63" s="15">
        <f>'lisa2 Detailne kulude jaotus'!F484</f>
        <v>-1671275.2799999998</v>
      </c>
      <c r="F63" s="15">
        <v>-1514634.23</v>
      </c>
      <c r="G63" s="143">
        <f>E63-D63</f>
        <v>605229.76000000024</v>
      </c>
      <c r="H63" s="195"/>
      <c r="I63" s="195"/>
      <c r="J63" s="148">
        <f t="shared" si="3"/>
        <v>605229.76000000024</v>
      </c>
      <c r="K63" s="148">
        <f t="shared" si="80"/>
        <v>0</v>
      </c>
      <c r="L63" s="224" t="s">
        <v>209</v>
      </c>
      <c r="M63" s="133">
        <f t="shared" si="103"/>
        <v>-2309</v>
      </c>
      <c r="N63" s="133">
        <f t="shared" si="104"/>
        <v>-2277</v>
      </c>
      <c r="O63" s="133">
        <f t="shared" si="105"/>
        <v>-1671</v>
      </c>
      <c r="P63" s="133">
        <f t="shared" ref="P63" si="107">ROUND(F63/1000,0)</f>
        <v>-1515</v>
      </c>
      <c r="Q63" s="133">
        <f t="shared" si="106"/>
        <v>605</v>
      </c>
    </row>
    <row r="64" spans="1:17" s="51" customFormat="1" ht="15.5" x14ac:dyDescent="0.35">
      <c r="A64" s="201" t="s">
        <v>23</v>
      </c>
      <c r="B64" s="204"/>
      <c r="C64" s="15">
        <v>-827597</v>
      </c>
      <c r="D64" s="15">
        <f>C64-375262.65-144200-373939+732836+22000-513421.67</f>
        <v>-1479584.3199999998</v>
      </c>
      <c r="E64" s="15">
        <f>-781500.92-130767.18</f>
        <v>-912268.10000000009</v>
      </c>
      <c r="F64" s="15">
        <f>-475121.63-98219.92</f>
        <v>-573341.55000000005</v>
      </c>
      <c r="G64" s="143">
        <f>E64-D64</f>
        <v>567316.21999999974</v>
      </c>
      <c r="H64" s="195">
        <f>D64+D11</f>
        <v>-431919085.02999997</v>
      </c>
      <c r="I64" s="195"/>
      <c r="J64" s="148">
        <f t="shared" si="3"/>
        <v>567316.21999999974</v>
      </c>
      <c r="K64" s="148">
        <f t="shared" si="80"/>
        <v>0</v>
      </c>
      <c r="L64" s="224" t="s">
        <v>23</v>
      </c>
      <c r="M64" s="133">
        <f t="shared" ref="M64:M70" si="108">ROUND(C64/1000,0)</f>
        <v>-828</v>
      </c>
      <c r="N64" s="133">
        <f t="shared" ref="N64:N70" si="109">ROUND(D64/1000,0)</f>
        <v>-1480</v>
      </c>
      <c r="O64" s="133">
        <f t="shared" ref="O64:O70" si="110">ROUND(E64/1000,0)</f>
        <v>-912</v>
      </c>
      <c r="P64" s="133">
        <f t="shared" ref="P64:P70" si="111">ROUND(F64/1000,0)</f>
        <v>-573</v>
      </c>
      <c r="Q64" s="133">
        <f t="shared" ref="Q64:Q70" si="112">ROUND(G64/1000,0)</f>
        <v>567</v>
      </c>
    </row>
    <row r="65" spans="1:17" ht="15.5" x14ac:dyDescent="0.35">
      <c r="A65" s="202"/>
      <c r="B65" s="205" t="s">
        <v>13</v>
      </c>
      <c r="C65" s="13">
        <v>-173000</v>
      </c>
      <c r="D65" s="7">
        <f>C65-375262.65-311038</f>
        <v>-859300.65</v>
      </c>
      <c r="E65" s="13">
        <v>-506715.06</v>
      </c>
      <c r="F65" s="13">
        <v>-343680.19</v>
      </c>
      <c r="G65" s="7">
        <f t="shared" ref="G65:G66" si="113">E65-D65</f>
        <v>352585.59</v>
      </c>
      <c r="J65" s="148">
        <f t="shared" si="3"/>
        <v>352585.59</v>
      </c>
      <c r="K65" s="148">
        <f t="shared" si="80"/>
        <v>0</v>
      </c>
      <c r="L65" s="160" t="s">
        <v>804</v>
      </c>
      <c r="M65" s="130">
        <f t="shared" si="108"/>
        <v>-173</v>
      </c>
      <c r="N65" s="130">
        <f t="shared" si="109"/>
        <v>-859</v>
      </c>
      <c r="O65" s="130">
        <f t="shared" si="110"/>
        <v>-507</v>
      </c>
      <c r="P65" s="130">
        <f t="shared" si="111"/>
        <v>-344</v>
      </c>
      <c r="Q65" s="130">
        <f t="shared" si="112"/>
        <v>353</v>
      </c>
    </row>
    <row r="66" spans="1:17" ht="15.5" x14ac:dyDescent="0.35">
      <c r="A66" s="202"/>
      <c r="B66" s="205" t="s">
        <v>791</v>
      </c>
      <c r="C66" s="13">
        <v>-128862</v>
      </c>
      <c r="D66" s="7">
        <f>C66+22000-10070.69</f>
        <v>-116932.69</v>
      </c>
      <c r="E66" s="13">
        <v>-130767.18</v>
      </c>
      <c r="F66" s="13">
        <v>-98219.92</v>
      </c>
      <c r="G66" s="7">
        <f t="shared" si="113"/>
        <v>-13834.489999999991</v>
      </c>
      <c r="J66" s="148">
        <f t="shared" si="3"/>
        <v>-13834.489999999991</v>
      </c>
      <c r="K66" s="148">
        <f t="shared" si="80"/>
        <v>0</v>
      </c>
      <c r="L66" s="160" t="s">
        <v>805</v>
      </c>
      <c r="M66" s="130">
        <f t="shared" si="108"/>
        <v>-129</v>
      </c>
      <c r="N66" s="130">
        <f t="shared" si="109"/>
        <v>-117</v>
      </c>
      <c r="O66" s="130">
        <f t="shared" si="110"/>
        <v>-131</v>
      </c>
      <c r="P66" s="130">
        <f t="shared" si="111"/>
        <v>-98</v>
      </c>
      <c r="Q66" s="130">
        <f t="shared" si="112"/>
        <v>-14</v>
      </c>
    </row>
    <row r="67" spans="1:17" ht="15.5" x14ac:dyDescent="0.35">
      <c r="A67" s="216" t="s">
        <v>31</v>
      </c>
      <c r="B67" s="216"/>
      <c r="C67" s="143">
        <f>C69</f>
        <v>0</v>
      </c>
      <c r="D67" s="143">
        <f t="shared" ref="D67:G67" si="114">D69</f>
        <v>0</v>
      </c>
      <c r="E67" s="143">
        <f t="shared" si="114"/>
        <v>-26539.43</v>
      </c>
      <c r="F67" s="143">
        <f t="shared" ref="F67" si="115">F69</f>
        <v>-447376.4</v>
      </c>
      <c r="G67" s="143">
        <f t="shared" si="114"/>
        <v>-26539.43</v>
      </c>
      <c r="J67" s="148">
        <f t="shared" si="3"/>
        <v>-26539.43</v>
      </c>
      <c r="K67" s="148">
        <f t="shared" si="80"/>
        <v>0</v>
      </c>
      <c r="L67" s="228" t="s">
        <v>31</v>
      </c>
      <c r="M67" s="133">
        <f t="shared" si="108"/>
        <v>0</v>
      </c>
      <c r="N67" s="133">
        <f t="shared" si="109"/>
        <v>0</v>
      </c>
      <c r="O67" s="133">
        <f t="shared" si="110"/>
        <v>-27</v>
      </c>
      <c r="P67" s="133">
        <f t="shared" si="111"/>
        <v>-447</v>
      </c>
      <c r="Q67" s="133">
        <f t="shared" si="112"/>
        <v>-27</v>
      </c>
    </row>
    <row r="68" spans="1:17" ht="15.5" x14ac:dyDescent="0.35">
      <c r="A68" s="219"/>
      <c r="B68" s="205" t="s">
        <v>13</v>
      </c>
      <c r="C68" s="7">
        <f>C70</f>
        <v>0</v>
      </c>
      <c r="D68" s="7">
        <f t="shared" ref="D68:G68" si="116">D70</f>
        <v>0</v>
      </c>
      <c r="E68" s="7">
        <f t="shared" si="116"/>
        <v>0</v>
      </c>
      <c r="F68" s="7">
        <f t="shared" ref="F68" si="117">F70</f>
        <v>0</v>
      </c>
      <c r="G68" s="7">
        <f t="shared" si="116"/>
        <v>0</v>
      </c>
      <c r="J68" s="148">
        <f t="shared" si="3"/>
        <v>0</v>
      </c>
      <c r="K68" s="148">
        <f t="shared" si="80"/>
        <v>0</v>
      </c>
      <c r="L68" s="227" t="s">
        <v>804</v>
      </c>
      <c r="M68" s="130">
        <f t="shared" si="108"/>
        <v>0</v>
      </c>
      <c r="N68" s="130">
        <f t="shared" si="109"/>
        <v>0</v>
      </c>
      <c r="O68" s="130">
        <f t="shared" si="110"/>
        <v>0</v>
      </c>
      <c r="P68" s="130">
        <f t="shared" si="111"/>
        <v>0</v>
      </c>
      <c r="Q68" s="130">
        <f t="shared" si="112"/>
        <v>0</v>
      </c>
    </row>
    <row r="69" spans="1:17" ht="15.5" x14ac:dyDescent="0.35">
      <c r="A69" s="226" t="s">
        <v>936</v>
      </c>
      <c r="B69" s="205"/>
      <c r="C69" s="7">
        <v>0</v>
      </c>
      <c r="D69" s="13">
        <f t="shared" ref="D69" si="118">C69</f>
        <v>0</v>
      </c>
      <c r="E69" s="144">
        <v>-26539.43</v>
      </c>
      <c r="F69" s="144">
        <v>-447376.4</v>
      </c>
      <c r="G69" s="7">
        <f t="shared" ref="G69" si="119">E69-D69</f>
        <v>-26539.43</v>
      </c>
      <c r="H69" s="167"/>
      <c r="I69" s="167"/>
      <c r="J69" s="148">
        <f t="shared" ref="J69:J70" si="120">E69-D69</f>
        <v>-26539.43</v>
      </c>
      <c r="K69" s="148">
        <f t="shared" si="80"/>
        <v>0</v>
      </c>
      <c r="L69" s="227" t="s">
        <v>936</v>
      </c>
      <c r="M69" s="130">
        <f t="shared" si="108"/>
        <v>0</v>
      </c>
      <c r="N69" s="130">
        <f t="shared" si="109"/>
        <v>0</v>
      </c>
      <c r="O69" s="130">
        <f t="shared" si="110"/>
        <v>-27</v>
      </c>
      <c r="P69" s="130">
        <f t="shared" si="111"/>
        <v>-447</v>
      </c>
      <c r="Q69" s="130">
        <f t="shared" si="112"/>
        <v>-27</v>
      </c>
    </row>
    <row r="70" spans="1:17" ht="15.5" x14ac:dyDescent="0.35">
      <c r="A70" s="226"/>
      <c r="B70" s="205" t="s">
        <v>13</v>
      </c>
      <c r="C70" s="7">
        <v>0</v>
      </c>
      <c r="D70" s="7">
        <v>0</v>
      </c>
      <c r="E70" s="7">
        <v>0</v>
      </c>
      <c r="F70" s="7">
        <v>0</v>
      </c>
      <c r="G70" s="7">
        <v>0</v>
      </c>
      <c r="H70" s="167"/>
      <c r="I70" s="167"/>
      <c r="J70" s="148">
        <f t="shared" si="120"/>
        <v>0</v>
      </c>
      <c r="K70" s="148">
        <f t="shared" si="80"/>
        <v>0</v>
      </c>
      <c r="L70" s="227" t="s">
        <v>804</v>
      </c>
      <c r="M70" s="130">
        <f t="shared" si="108"/>
        <v>0</v>
      </c>
      <c r="N70" s="130">
        <f t="shared" si="109"/>
        <v>0</v>
      </c>
      <c r="O70" s="130">
        <f t="shared" si="110"/>
        <v>0</v>
      </c>
      <c r="P70" s="130">
        <f t="shared" si="111"/>
        <v>0</v>
      </c>
      <c r="Q70" s="130">
        <f t="shared" si="112"/>
        <v>0</v>
      </c>
    </row>
    <row r="71" spans="1:17" ht="15.5" x14ac:dyDescent="0.35">
      <c r="A71" s="207" t="s">
        <v>18</v>
      </c>
      <c r="B71" s="207"/>
      <c r="C71" s="143"/>
      <c r="D71" s="143"/>
      <c r="E71" s="143">
        <f>SUM(E72:E80)</f>
        <v>45926053.469999991</v>
      </c>
      <c r="F71" s="143">
        <f>SUM(F72:F80)</f>
        <v>44867166.890000001</v>
      </c>
      <c r="G71" s="143"/>
      <c r="K71" s="148">
        <f t="shared" si="80"/>
        <v>0</v>
      </c>
      <c r="L71" s="161" t="s">
        <v>18</v>
      </c>
      <c r="M71" s="130"/>
      <c r="N71" s="130"/>
      <c r="O71" s="133">
        <f t="shared" si="6"/>
        <v>45926</v>
      </c>
      <c r="P71" s="133">
        <f t="shared" si="7"/>
        <v>44867</v>
      </c>
      <c r="Q71" s="130"/>
    </row>
    <row r="72" spans="1:17" ht="15.5" x14ac:dyDescent="0.35">
      <c r="A72" s="20"/>
      <c r="B72" s="210" t="s">
        <v>33</v>
      </c>
      <c r="C72" s="7"/>
      <c r="D72" s="7"/>
      <c r="E72" s="7">
        <v>47759483.920000002</v>
      </c>
      <c r="F72" s="7">
        <v>45351772.369999997</v>
      </c>
      <c r="G72" s="7"/>
      <c r="K72" s="148">
        <f t="shared" si="80"/>
        <v>0</v>
      </c>
      <c r="L72" s="163" t="s">
        <v>33</v>
      </c>
      <c r="M72" s="130"/>
      <c r="N72" s="130"/>
      <c r="O72" s="130">
        <f t="shared" si="6"/>
        <v>47759</v>
      </c>
      <c r="P72" s="130">
        <f t="shared" si="7"/>
        <v>45352</v>
      </c>
      <c r="Q72" s="130"/>
    </row>
    <row r="73" spans="1:17" ht="15.5" x14ac:dyDescent="0.35">
      <c r="A73" s="20"/>
      <c r="B73" s="210" t="s">
        <v>34</v>
      </c>
      <c r="C73" s="7"/>
      <c r="D73" s="7"/>
      <c r="E73" s="7">
        <f>-47759483.92-tulud!G121</f>
        <v>-707386.92000000179</v>
      </c>
      <c r="F73" s="7">
        <f>-45351772.37-tulud!N121</f>
        <v>-1163558.3699999973</v>
      </c>
      <c r="G73" s="7"/>
      <c r="K73" s="148">
        <f t="shared" si="80"/>
        <v>0</v>
      </c>
      <c r="L73" s="163" t="s">
        <v>34</v>
      </c>
      <c r="M73" s="130"/>
      <c r="N73" s="130"/>
      <c r="O73" s="130">
        <f t="shared" si="6"/>
        <v>-707</v>
      </c>
      <c r="P73" s="130">
        <f t="shared" si="7"/>
        <v>-1164</v>
      </c>
      <c r="Q73" s="130"/>
    </row>
    <row r="74" spans="1:17" ht="15.5" x14ac:dyDescent="0.35">
      <c r="A74" s="20"/>
      <c r="B74" s="205" t="s">
        <v>35</v>
      </c>
      <c r="C74" s="7"/>
      <c r="D74" s="144"/>
      <c r="E74" s="7">
        <v>871.04</v>
      </c>
      <c r="F74" s="7">
        <v>4762.74</v>
      </c>
      <c r="G74" s="6"/>
      <c r="K74" s="148">
        <f t="shared" si="80"/>
        <v>0</v>
      </c>
      <c r="L74" s="160" t="s">
        <v>35</v>
      </c>
      <c r="M74" s="130"/>
      <c r="N74" s="130"/>
      <c r="O74" s="130">
        <f t="shared" si="6"/>
        <v>1</v>
      </c>
      <c r="P74" s="130">
        <f t="shared" si="7"/>
        <v>5</v>
      </c>
      <c r="Q74" s="130"/>
    </row>
    <row r="75" spans="1:17" ht="15.5" x14ac:dyDescent="0.35">
      <c r="A75" s="20"/>
      <c r="B75" s="205" t="s">
        <v>22</v>
      </c>
      <c r="C75" s="7"/>
      <c r="D75" s="144"/>
      <c r="E75" s="7">
        <f>16767.69</f>
        <v>16767.689999999999</v>
      </c>
      <c r="F75" s="7">
        <v>7607.2</v>
      </c>
      <c r="G75" s="6"/>
      <c r="K75" s="148">
        <f t="shared" si="80"/>
        <v>0</v>
      </c>
      <c r="L75" s="160" t="s">
        <v>22</v>
      </c>
      <c r="M75" s="130"/>
      <c r="N75" s="130"/>
      <c r="O75" s="130">
        <f t="shared" si="6"/>
        <v>17</v>
      </c>
      <c r="P75" s="130">
        <f t="shared" si="7"/>
        <v>8</v>
      </c>
      <c r="Q75" s="130"/>
    </row>
    <row r="76" spans="1:17" ht="15.5" x14ac:dyDescent="0.35">
      <c r="A76" s="20"/>
      <c r="B76" s="205" t="s">
        <v>28</v>
      </c>
      <c r="C76" s="7"/>
      <c r="D76" s="144"/>
      <c r="E76" s="7">
        <v>912984.8</v>
      </c>
      <c r="F76" s="7">
        <v>383983.72</v>
      </c>
      <c r="G76" s="6"/>
      <c r="K76" s="148">
        <f t="shared" si="80"/>
        <v>0</v>
      </c>
      <c r="L76" s="160" t="s">
        <v>28</v>
      </c>
      <c r="M76" s="130"/>
      <c r="N76" s="130"/>
      <c r="O76" s="130">
        <f t="shared" si="6"/>
        <v>913</v>
      </c>
      <c r="P76" s="130">
        <f t="shared" si="7"/>
        <v>384</v>
      </c>
      <c r="Q76" s="130"/>
    </row>
    <row r="77" spans="1:17" ht="15.5" x14ac:dyDescent="0.35">
      <c r="A77" s="20"/>
      <c r="B77" s="205" t="s">
        <v>769</v>
      </c>
      <c r="C77" s="7"/>
      <c r="D77" s="144"/>
      <c r="E77" s="7">
        <f>-2959.01-16767.69</f>
        <v>-19726.699999999997</v>
      </c>
      <c r="F77" s="7">
        <f>-1342.44-7607.2</f>
        <v>-8949.64</v>
      </c>
      <c r="G77" s="6"/>
      <c r="K77" s="148">
        <f t="shared" si="80"/>
        <v>0</v>
      </c>
      <c r="L77" s="160" t="s">
        <v>769</v>
      </c>
      <c r="M77" s="130"/>
      <c r="N77" s="130"/>
      <c r="O77" s="130">
        <f t="shared" si="6"/>
        <v>-20</v>
      </c>
      <c r="P77" s="130">
        <f t="shared" si="7"/>
        <v>-9</v>
      </c>
      <c r="Q77" s="130"/>
    </row>
    <row r="78" spans="1:17" ht="15.5" x14ac:dyDescent="0.35">
      <c r="A78" s="20"/>
      <c r="B78" s="205" t="s">
        <v>29</v>
      </c>
      <c r="C78" s="7"/>
      <c r="D78" s="144"/>
      <c r="E78" s="7">
        <v>-5481.34</v>
      </c>
      <c r="F78" s="7">
        <v>9796.64</v>
      </c>
      <c r="G78" s="6"/>
      <c r="K78" s="148">
        <f t="shared" si="80"/>
        <v>0</v>
      </c>
      <c r="L78" s="160" t="s">
        <v>29</v>
      </c>
      <c r="M78" s="130"/>
      <c r="N78" s="130"/>
      <c r="O78" s="130">
        <f t="shared" si="6"/>
        <v>-5</v>
      </c>
      <c r="P78" s="130">
        <f t="shared" si="7"/>
        <v>10</v>
      </c>
      <c r="Q78" s="130"/>
    </row>
    <row r="79" spans="1:17" ht="15.5" x14ac:dyDescent="0.35">
      <c r="A79" s="20"/>
      <c r="B79" s="205" t="s">
        <v>30</v>
      </c>
      <c r="C79" s="7"/>
      <c r="D79" s="144"/>
      <c r="E79" s="7">
        <v>5481.34</v>
      </c>
      <c r="F79" s="7">
        <v>-9796.64</v>
      </c>
      <c r="G79" s="6"/>
      <c r="K79" s="148">
        <f t="shared" si="80"/>
        <v>0</v>
      </c>
      <c r="L79" s="160" t="s">
        <v>30</v>
      </c>
      <c r="M79" s="130"/>
      <c r="N79" s="130"/>
      <c r="O79" s="130">
        <f t="shared" si="6"/>
        <v>5</v>
      </c>
      <c r="P79" s="130">
        <f t="shared" si="7"/>
        <v>-10</v>
      </c>
      <c r="Q79" s="130"/>
    </row>
    <row r="80" spans="1:17" ht="15.5" x14ac:dyDescent="0.35">
      <c r="A80" s="20"/>
      <c r="B80" s="205" t="s">
        <v>32</v>
      </c>
      <c r="C80" s="7"/>
      <c r="D80" s="144"/>
      <c r="E80" s="7">
        <v>-2036940.36</v>
      </c>
      <c r="F80" s="7">
        <v>291548.87</v>
      </c>
      <c r="G80" s="6"/>
      <c r="K80" s="148">
        <f t="shared" si="80"/>
        <v>0</v>
      </c>
      <c r="L80" s="160" t="s">
        <v>32</v>
      </c>
      <c r="M80" s="130"/>
      <c r="N80" s="130"/>
      <c r="O80" s="130">
        <f t="shared" si="6"/>
        <v>-2037</v>
      </c>
      <c r="P80" s="130">
        <f t="shared" si="7"/>
        <v>292</v>
      </c>
      <c r="Q80" s="130"/>
    </row>
    <row r="81" spans="1:40" ht="15.5" hidden="1" x14ac:dyDescent="0.35">
      <c r="A81" s="212" t="s">
        <v>26</v>
      </c>
      <c r="B81" s="213"/>
      <c r="C81" s="17"/>
      <c r="D81" s="18"/>
      <c r="E81" s="10"/>
      <c r="F81" s="10"/>
      <c r="G81" s="11"/>
      <c r="K81" s="148">
        <f t="shared" si="80"/>
        <v>0</v>
      </c>
      <c r="L81" s="164"/>
      <c r="M81" s="130"/>
      <c r="N81" s="130"/>
      <c r="O81" s="130"/>
      <c r="P81" s="130"/>
      <c r="Q81" s="130"/>
    </row>
    <row r="82" spans="1:40" ht="15.5" hidden="1" x14ac:dyDescent="0.35">
      <c r="A82" s="214" t="s">
        <v>27</v>
      </c>
      <c r="B82" s="214"/>
      <c r="C82" s="17"/>
      <c r="D82" s="19"/>
      <c r="E82" s="10"/>
      <c r="F82" s="10"/>
      <c r="G82" s="11"/>
      <c r="K82" s="148">
        <f t="shared" si="80"/>
        <v>0</v>
      </c>
      <c r="L82" s="165"/>
      <c r="M82" s="130"/>
      <c r="N82" s="130"/>
      <c r="O82" s="130"/>
      <c r="P82" s="130"/>
      <c r="Q82" s="130"/>
    </row>
    <row r="83" spans="1:40" ht="15.5" hidden="1" x14ac:dyDescent="0.35">
      <c r="A83" s="209"/>
      <c r="B83" s="212" t="s">
        <v>24</v>
      </c>
      <c r="C83" s="17">
        <v>0</v>
      </c>
      <c r="D83" s="17">
        <f>-89631804.65-9995751-4189771.43+5270991+25914210-21327273.29+261309+3650654.76-1599841.25+23982+15789+26150.74+273117.58+265365.48+5864000.84+822918.22+515751+3363.64+7064.64+28544.62-5268+8100+3603217+1707654.51+8463142.78+458199+172912+176356+110489.3+311131.75+143497.98+621629.77+7000+11885+37000+100000+1041218.05+610158.5+381725+386313+16050+2914271.32+7438916.9+219745.74+228646.04+23782+5678.39+146827.69+29800-24966.65+43689078.35+144116.51+14652+31392.39+6485.03+13984-167234.95-22978.78+23516.62+6229+13771+279802+218344+222371+48435.78+14.43-81067.74+265075+659605+10406.78+32877+190988.2+4122730.61+3052.55+900+1838793.35+2413441+33032.06+371091.01+73212.84</f>
        <v>1.000000475323759E-2</v>
      </c>
      <c r="E83" s="17">
        <f>tulud!G121-315322745.48-1027706.71+2959.01+16767.69+2546373.25-5481.34+10758163.83+49800840.66+17834510.95+18776708.28+8273147.3+3009560.55+48737595.51+15102624.09+2827241.06+2598290.23+2626969.69+32683252.82+46056823.9+359620.65+3289226.97+166221.75+14022270.92+24083585.69+59835275.48</f>
        <v>-0.25000003725290298</v>
      </c>
      <c r="F83" s="17">
        <v>0</v>
      </c>
      <c r="G83" s="21">
        <f>E83-D83</f>
        <v>-0.26000004200614057</v>
      </c>
      <c r="H83" s="250"/>
      <c r="I83" s="250"/>
      <c r="K83" s="148">
        <f t="shared" si="80"/>
        <v>0.26000004200614057</v>
      </c>
      <c r="L83" s="166"/>
      <c r="M83" s="130"/>
      <c r="N83" s="130"/>
      <c r="O83" s="130"/>
      <c r="P83" s="130"/>
      <c r="Q83" s="130"/>
    </row>
    <row r="84" spans="1:40" ht="15.5" hidden="1" x14ac:dyDescent="0.35">
      <c r="A84" s="209"/>
      <c r="B84" s="215" t="s">
        <v>13</v>
      </c>
      <c r="C84" s="8">
        <v>0</v>
      </c>
      <c r="D84" s="8">
        <f>-39872268.15-4275950-4189771.43+5208090-11259.78+261309+3650654.76+23982+15789+26150.74+265365.48+822918.22+515751+7064.64-5268+3603217+1707654.51+8463142.78+458199+172912+176356+110489.3+311131.75+11885+37000+100000+1041218.05+381725+386313+16050+2914271.32+7438916.9+23782+5678.39-24966.65+14652+31392.39-167234.95-22978.78+6229+13771+218344+222371+14.43+265075+659605+10406.78+32877+190988.2+4122730.61+900+1838793.35+2413441+371091.01-0.5</f>
        <v>0.36999999801628292</v>
      </c>
      <c r="E84" s="12">
        <f>-283890108.9+7316935.88+40216702+13720111.32+13982814+4109063.64+326432.55+48737595.51+10881835.04+13105.81+2548181.72+14.43+13425869.25+41928183.55+351000+3289226.97+166221.75+5721744.13+24083585.69+52756175.14+315310.88</f>
        <v>0.35999998927582055</v>
      </c>
      <c r="F84" s="12">
        <v>0</v>
      </c>
      <c r="G84" s="12">
        <f>E84-D84</f>
        <v>-1.0000008740462363E-2</v>
      </c>
      <c r="K84" s="148">
        <f t="shared" si="80"/>
        <v>1.0000008740462363E-2</v>
      </c>
      <c r="L84" s="166"/>
      <c r="M84" s="130"/>
      <c r="N84" s="130"/>
      <c r="O84" s="130"/>
      <c r="P84" s="130"/>
      <c r="Q84" s="130"/>
    </row>
    <row r="85" spans="1:40" ht="15.5" hidden="1" x14ac:dyDescent="0.35">
      <c r="A85" s="209"/>
      <c r="B85" s="212" t="s">
        <v>25</v>
      </c>
      <c r="C85" s="17">
        <v>0</v>
      </c>
      <c r="D85" s="17">
        <v>0</v>
      </c>
      <c r="E85" s="17">
        <v>0</v>
      </c>
      <c r="F85" s="17">
        <v>0</v>
      </c>
      <c r="G85" s="21">
        <f>E85-D85</f>
        <v>0</v>
      </c>
      <c r="K85" s="148">
        <f t="shared" si="80"/>
        <v>0</v>
      </c>
      <c r="L85" s="166"/>
      <c r="M85" s="130"/>
      <c r="N85" s="130"/>
      <c r="O85" s="130"/>
      <c r="P85" s="130"/>
      <c r="Q85" s="130"/>
    </row>
    <row r="86" spans="1:40" ht="15.5" hidden="1" x14ac:dyDescent="0.35">
      <c r="A86" s="209"/>
      <c r="B86" s="215" t="s">
        <v>13</v>
      </c>
      <c r="C86" s="8">
        <v>0</v>
      </c>
      <c r="D86" s="8">
        <v>0</v>
      </c>
      <c r="E86" s="8">
        <v>0</v>
      </c>
      <c r="F86" s="8">
        <v>0</v>
      </c>
      <c r="G86" s="12">
        <f>E86-D86</f>
        <v>0</v>
      </c>
      <c r="K86" s="148">
        <f t="shared" si="80"/>
        <v>0</v>
      </c>
      <c r="L86" s="166"/>
      <c r="M86" s="130"/>
      <c r="N86" s="130"/>
      <c r="O86" s="130"/>
      <c r="P86" s="130"/>
      <c r="Q86" s="130"/>
    </row>
    <row r="87" spans="1:40" ht="15.5" hidden="1" x14ac:dyDescent="0.35">
      <c r="A87" s="208"/>
      <c r="B87" s="209" t="s">
        <v>19</v>
      </c>
      <c r="C87" s="8"/>
      <c r="D87" s="9"/>
      <c r="E87" s="252">
        <f>E5+E11+E66+E71</f>
        <v>-298957805.87097609</v>
      </c>
      <c r="F87" s="10">
        <f>F5+F11+F66+F71</f>
        <v>-316275171.63999999</v>
      </c>
      <c r="G87" s="11"/>
      <c r="K87" s="148">
        <f t="shared" si="80"/>
        <v>0</v>
      </c>
      <c r="L87" s="162"/>
      <c r="M87" s="130"/>
      <c r="N87" s="130"/>
      <c r="O87" s="130"/>
      <c r="P87" s="130"/>
      <c r="Q87" s="130"/>
    </row>
    <row r="88" spans="1:40" ht="15.5" hidden="1" x14ac:dyDescent="0.35">
      <c r="A88" s="208"/>
      <c r="B88" s="209" t="s">
        <v>20</v>
      </c>
      <c r="C88" s="8"/>
      <c r="D88" s="9"/>
      <c r="E88" s="252">
        <f>-296920865.51-2036940.36</f>
        <v>-298957805.87</v>
      </c>
      <c r="F88" s="10">
        <v>-316275171.76999998</v>
      </c>
      <c r="G88" s="11"/>
      <c r="K88" s="148">
        <f t="shared" si="80"/>
        <v>0</v>
      </c>
      <c r="L88" s="162"/>
      <c r="M88" s="130"/>
      <c r="N88" s="130"/>
      <c r="O88" s="130"/>
      <c r="P88" s="130"/>
      <c r="Q88" s="130"/>
    </row>
    <row r="89" spans="1:40" hidden="1" x14ac:dyDescent="0.35">
      <c r="E89" s="1">
        <f>E88-E87</f>
        <v>9.7608566284179688E-4</v>
      </c>
    </row>
    <row r="90" spans="1:40" x14ac:dyDescent="0.35">
      <c r="E90" s="1"/>
      <c r="F90" s="1"/>
      <c r="G90" s="1"/>
      <c r="H90" s="265"/>
      <c r="I90" s="265"/>
      <c r="J90" s="265"/>
      <c r="K90" s="265"/>
      <c r="L90" s="266"/>
      <c r="M90" s="266"/>
      <c r="N90" s="266"/>
      <c r="O90" s="266"/>
      <c r="P90" s="266"/>
      <c r="Q90" s="266"/>
      <c r="R90" s="267"/>
      <c r="S90" s="267"/>
      <c r="T90" s="267"/>
      <c r="U90" s="267"/>
      <c r="V90" s="267"/>
      <c r="W90" s="267"/>
      <c r="X90" s="267"/>
      <c r="Y90" s="267"/>
      <c r="Z90" s="267"/>
      <c r="AA90" s="267"/>
      <c r="AB90" s="267"/>
      <c r="AC90" s="267"/>
      <c r="AD90" s="267"/>
      <c r="AE90" s="267"/>
      <c r="AF90" s="267"/>
      <c r="AG90" s="267"/>
      <c r="AH90" s="267"/>
      <c r="AI90" s="267"/>
      <c r="AJ90" s="267"/>
      <c r="AK90" s="267"/>
      <c r="AL90" s="267"/>
      <c r="AM90" s="267"/>
      <c r="AN90" s="267"/>
    </row>
    <row r="91" spans="1:40" x14ac:dyDescent="0.35">
      <c r="E91" s="1"/>
      <c r="F91" s="1"/>
      <c r="G91" s="1"/>
      <c r="H91" s="265"/>
      <c r="I91" s="265"/>
      <c r="J91" s="265"/>
      <c r="K91" s="265"/>
      <c r="L91" s="266"/>
      <c r="M91" s="266"/>
      <c r="N91" s="266"/>
      <c r="O91" s="266"/>
      <c r="P91" s="266"/>
      <c r="Q91" s="266"/>
      <c r="R91" s="267"/>
      <c r="S91" s="267"/>
      <c r="T91" s="267"/>
      <c r="U91" s="267"/>
      <c r="V91" s="267"/>
      <c r="W91" s="267"/>
      <c r="X91" s="267"/>
      <c r="Y91" s="267"/>
      <c r="Z91" s="267"/>
      <c r="AA91" s="267"/>
      <c r="AB91" s="267"/>
      <c r="AC91" s="267"/>
      <c r="AD91" s="267"/>
      <c r="AE91" s="267"/>
      <c r="AF91" s="267"/>
      <c r="AG91" s="267"/>
      <c r="AH91" s="267"/>
      <c r="AI91" s="267"/>
      <c r="AJ91" s="267"/>
      <c r="AK91" s="267"/>
      <c r="AL91" s="267"/>
      <c r="AM91" s="267"/>
      <c r="AN91" s="267"/>
    </row>
    <row r="92" spans="1:40" x14ac:dyDescent="0.35">
      <c r="E92" s="1"/>
      <c r="F92" s="1"/>
      <c r="G92" s="1"/>
      <c r="H92" s="265"/>
      <c r="I92" s="265"/>
      <c r="J92" s="265"/>
      <c r="K92" s="265"/>
      <c r="L92" s="266"/>
      <c r="M92" s="266"/>
      <c r="N92" s="266"/>
      <c r="O92" s="266"/>
      <c r="P92" s="266"/>
      <c r="Q92" s="266"/>
      <c r="R92" s="267"/>
      <c r="S92" s="267"/>
      <c r="T92" s="267"/>
      <c r="U92" s="267"/>
      <c r="V92" s="267"/>
      <c r="W92" s="267"/>
      <c r="X92" s="267"/>
      <c r="Y92" s="267"/>
      <c r="Z92" s="267"/>
      <c r="AA92" s="267"/>
      <c r="AB92" s="267"/>
      <c r="AC92" s="267"/>
      <c r="AD92" s="267"/>
      <c r="AE92" s="267"/>
      <c r="AF92" s="267"/>
      <c r="AG92" s="267"/>
      <c r="AH92" s="267"/>
      <c r="AI92" s="267"/>
      <c r="AJ92" s="267"/>
      <c r="AK92" s="267"/>
      <c r="AL92" s="267"/>
      <c r="AM92" s="267"/>
      <c r="AN92" s="267"/>
    </row>
    <row r="93" spans="1:40" x14ac:dyDescent="0.35">
      <c r="E93" s="1"/>
      <c r="F93" s="1"/>
      <c r="G93" s="1"/>
      <c r="H93" s="265"/>
      <c r="I93" s="265"/>
      <c r="J93" s="265"/>
      <c r="K93" s="265"/>
      <c r="L93" s="266"/>
      <c r="M93" s="266"/>
      <c r="N93" s="266"/>
      <c r="O93" s="266"/>
      <c r="P93" s="266"/>
      <c r="Q93" s="266"/>
      <c r="R93" s="267"/>
      <c r="S93" s="267"/>
      <c r="T93" s="267"/>
      <c r="U93" s="267"/>
      <c r="V93" s="267"/>
      <c r="W93" s="267"/>
      <c r="X93" s="267"/>
      <c r="Y93" s="267"/>
      <c r="Z93" s="267"/>
      <c r="AA93" s="267"/>
      <c r="AB93" s="267"/>
      <c r="AC93" s="267"/>
      <c r="AD93" s="267"/>
      <c r="AE93" s="267"/>
      <c r="AF93" s="267"/>
      <c r="AG93" s="267"/>
      <c r="AH93" s="267"/>
      <c r="AI93" s="267"/>
      <c r="AJ93" s="267"/>
      <c r="AK93" s="267"/>
      <c r="AL93" s="267"/>
      <c r="AM93" s="267"/>
      <c r="AN93" s="267"/>
    </row>
    <row r="94" spans="1:40" x14ac:dyDescent="0.35">
      <c r="E94" s="1"/>
      <c r="F94" s="1"/>
      <c r="G94" s="1"/>
      <c r="H94" s="265"/>
      <c r="I94" s="265"/>
      <c r="J94" s="265"/>
      <c r="K94" s="265"/>
      <c r="L94" s="266"/>
      <c r="M94" s="266"/>
      <c r="N94" s="266"/>
      <c r="O94" s="266"/>
      <c r="P94" s="266"/>
      <c r="Q94" s="266"/>
      <c r="R94" s="267"/>
      <c r="S94" s="267"/>
      <c r="T94" s="267"/>
      <c r="U94" s="267"/>
      <c r="V94" s="267"/>
      <c r="W94" s="267"/>
      <c r="X94" s="267"/>
      <c r="Y94" s="267"/>
      <c r="Z94" s="267"/>
      <c r="AA94" s="267"/>
      <c r="AB94" s="267"/>
      <c r="AC94" s="267"/>
      <c r="AD94" s="267"/>
      <c r="AE94" s="267"/>
      <c r="AF94" s="267"/>
      <c r="AG94" s="267"/>
      <c r="AH94" s="267"/>
      <c r="AI94" s="267"/>
      <c r="AJ94" s="267"/>
      <c r="AK94" s="267"/>
      <c r="AL94" s="267"/>
      <c r="AM94" s="267"/>
      <c r="AN94" s="267"/>
    </row>
    <row r="95" spans="1:40" x14ac:dyDescent="0.35">
      <c r="E95" s="1"/>
      <c r="F95" s="1"/>
      <c r="G95" s="1"/>
      <c r="H95" s="265"/>
      <c r="I95" s="265"/>
      <c r="J95" s="265"/>
      <c r="K95" s="265"/>
      <c r="L95" s="266"/>
      <c r="M95" s="266"/>
      <c r="N95" s="266"/>
      <c r="O95" s="266"/>
      <c r="P95" s="266"/>
      <c r="Q95" s="266"/>
      <c r="R95" s="267"/>
      <c r="S95" s="267"/>
      <c r="T95" s="267"/>
      <c r="U95" s="267"/>
      <c r="V95" s="267"/>
      <c r="W95" s="267"/>
      <c r="X95" s="267"/>
      <c r="Y95" s="267"/>
      <c r="Z95" s="267"/>
      <c r="AA95" s="267"/>
      <c r="AB95" s="267"/>
      <c r="AC95" s="267"/>
      <c r="AD95" s="267"/>
      <c r="AE95" s="267"/>
      <c r="AF95" s="267"/>
      <c r="AG95" s="267"/>
      <c r="AH95" s="267"/>
      <c r="AI95" s="267"/>
      <c r="AJ95" s="267"/>
      <c r="AK95" s="267"/>
      <c r="AL95" s="267"/>
      <c r="AM95" s="267"/>
      <c r="AN95" s="267"/>
    </row>
    <row r="96" spans="1:40" x14ac:dyDescent="0.35">
      <c r="E96" s="1"/>
      <c r="F96" s="1"/>
      <c r="G96" s="1"/>
      <c r="H96" s="265"/>
      <c r="I96" s="265"/>
      <c r="J96" s="265"/>
      <c r="K96" s="265"/>
      <c r="L96" s="266"/>
      <c r="M96" s="266"/>
      <c r="N96" s="266"/>
      <c r="O96" s="266"/>
      <c r="P96" s="266"/>
      <c r="Q96" s="266"/>
      <c r="R96" s="267"/>
      <c r="S96" s="267"/>
      <c r="T96" s="267"/>
      <c r="U96" s="267"/>
      <c r="V96" s="267"/>
      <c r="W96" s="267"/>
      <c r="X96" s="267"/>
      <c r="Y96" s="267"/>
      <c r="Z96" s="267"/>
      <c r="AA96" s="267"/>
      <c r="AB96" s="267"/>
      <c r="AC96" s="267"/>
      <c r="AD96" s="267"/>
      <c r="AE96" s="267"/>
      <c r="AF96" s="267"/>
      <c r="AG96" s="267"/>
      <c r="AH96" s="267"/>
      <c r="AI96" s="267"/>
      <c r="AJ96" s="267"/>
      <c r="AK96" s="267"/>
      <c r="AL96" s="267"/>
      <c r="AM96" s="267"/>
      <c r="AN96" s="267"/>
    </row>
    <row r="97" spans="5:40" x14ac:dyDescent="0.35">
      <c r="E97" s="1"/>
      <c r="F97" s="1"/>
      <c r="G97" s="1"/>
      <c r="H97" s="265"/>
      <c r="I97" s="265"/>
      <c r="J97" s="265"/>
      <c r="K97" s="265"/>
      <c r="L97" s="266"/>
      <c r="M97" s="266"/>
      <c r="N97" s="266"/>
      <c r="O97" s="266"/>
      <c r="P97" s="266"/>
      <c r="Q97" s="266"/>
      <c r="R97" s="267"/>
      <c r="S97" s="267"/>
      <c r="T97" s="267"/>
      <c r="U97" s="267"/>
      <c r="V97" s="267"/>
      <c r="W97" s="267"/>
      <c r="X97" s="267"/>
      <c r="Y97" s="267"/>
      <c r="Z97" s="267"/>
      <c r="AA97" s="267"/>
      <c r="AB97" s="267"/>
      <c r="AC97" s="267"/>
      <c r="AD97" s="267"/>
      <c r="AE97" s="267"/>
      <c r="AF97" s="267"/>
      <c r="AG97" s="267"/>
      <c r="AH97" s="267"/>
      <c r="AI97" s="267"/>
      <c r="AJ97" s="267"/>
      <c r="AK97" s="267"/>
      <c r="AL97" s="267"/>
      <c r="AM97" s="267"/>
      <c r="AN97" s="267"/>
    </row>
    <row r="98" spans="5:40" x14ac:dyDescent="0.35">
      <c r="E98" s="1"/>
      <c r="F98" s="1"/>
      <c r="G98" s="1"/>
      <c r="H98" s="265"/>
      <c r="I98" s="265"/>
      <c r="J98" s="265"/>
      <c r="K98" s="265"/>
      <c r="L98" s="266"/>
      <c r="M98" s="266"/>
      <c r="N98" s="266"/>
      <c r="O98" s="266"/>
      <c r="P98" s="266"/>
      <c r="Q98" s="266"/>
      <c r="R98" s="267"/>
      <c r="S98" s="267"/>
      <c r="T98" s="267"/>
      <c r="U98" s="267"/>
      <c r="V98" s="267"/>
      <c r="W98" s="267"/>
      <c r="X98" s="267"/>
      <c r="Y98" s="267"/>
      <c r="Z98" s="267"/>
      <c r="AA98" s="267"/>
      <c r="AB98" s="267"/>
      <c r="AC98" s="267"/>
      <c r="AD98" s="267"/>
      <c r="AE98" s="267"/>
      <c r="AF98" s="267"/>
      <c r="AG98" s="267"/>
      <c r="AH98" s="267"/>
      <c r="AI98" s="267"/>
      <c r="AJ98" s="267"/>
      <c r="AK98" s="267"/>
      <c r="AL98" s="267"/>
      <c r="AM98" s="267"/>
      <c r="AN98" s="267"/>
    </row>
  </sheetData>
  <autoFilter ref="A3:S88" xr:uid="{C8B09F5C-00A4-4BD3-B743-9BFC60E719C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2CA17-EE11-4023-A22F-D18D7CB90FB2}">
  <dimension ref="A1:O249"/>
  <sheetViews>
    <sheetView workbookViewId="0">
      <selection activeCell="C7" sqref="C7"/>
    </sheetView>
  </sheetViews>
  <sheetFormatPr defaultRowHeight="14.5" x14ac:dyDescent="0.35"/>
  <cols>
    <col min="2" max="2" width="28.453125" customWidth="1"/>
    <col min="3" max="3" width="18" customWidth="1"/>
    <col min="5" max="5" width="28.453125" customWidth="1"/>
    <col min="6" max="6" width="18" customWidth="1"/>
    <col min="9" max="9" width="15.81640625" bestFit="1" customWidth="1"/>
    <col min="11" max="11" width="37" bestFit="1" customWidth="1"/>
    <col min="12" max="12" width="15.7265625" bestFit="1" customWidth="1"/>
    <col min="13" max="13" width="15" bestFit="1" customWidth="1"/>
    <col min="14" max="14" width="14" bestFit="1" customWidth="1"/>
    <col min="15" max="15" width="10.7265625" bestFit="1" customWidth="1"/>
  </cols>
  <sheetData>
    <row r="1" spans="1:12" ht="15.5" x14ac:dyDescent="0.35">
      <c r="A1" s="288" t="s">
        <v>187</v>
      </c>
      <c r="B1" s="288"/>
      <c r="C1" s="288"/>
      <c r="D1" s="288" t="s">
        <v>187</v>
      </c>
      <c r="E1" s="288"/>
      <c r="F1" s="288"/>
      <c r="G1" s="290" t="s">
        <v>187</v>
      </c>
      <c r="H1" s="290"/>
      <c r="I1" s="290"/>
    </row>
    <row r="2" spans="1:12" x14ac:dyDescent="0.35">
      <c r="A2" s="289" t="s">
        <v>922</v>
      </c>
      <c r="B2" s="289"/>
      <c r="C2" s="289"/>
      <c r="D2" s="289" t="s">
        <v>922</v>
      </c>
      <c r="E2" s="289"/>
      <c r="F2" s="289"/>
      <c r="G2" s="289" t="s">
        <v>902</v>
      </c>
      <c r="H2" s="289"/>
      <c r="I2" s="289"/>
    </row>
    <row r="3" spans="1:12" x14ac:dyDescent="0.35">
      <c r="C3" s="26"/>
      <c r="F3" s="26"/>
      <c r="I3" s="26"/>
      <c r="K3" s="26"/>
    </row>
    <row r="4" spans="1:12" x14ac:dyDescent="0.35">
      <c r="A4" s="77" t="s">
        <v>188</v>
      </c>
      <c r="C4" s="78">
        <f>C5-F5+F6-C6</f>
        <v>0</v>
      </c>
      <c r="D4" s="77" t="s">
        <v>188</v>
      </c>
      <c r="F4" s="78">
        <f>F5-I5+I6-F6</f>
        <v>7053.5999870300293</v>
      </c>
      <c r="I4" s="78">
        <f>I5-L5+L6-I6</f>
        <v>-2685.1700019836426</v>
      </c>
    </row>
    <row r="5" spans="1:12" x14ac:dyDescent="0.35">
      <c r="A5" s="77" t="s">
        <v>862</v>
      </c>
      <c r="B5" s="26"/>
      <c r="C5" s="78">
        <f>SUBTOTAL(9,C152:C246)</f>
        <v>18858729399.860001</v>
      </c>
      <c r="D5" s="77" t="s">
        <v>862</v>
      </c>
      <c r="E5" s="26"/>
      <c r="F5" s="78">
        <f>SUBTOTAL(9,F152:F246)</f>
        <v>18858729399.860001</v>
      </c>
      <c r="I5" s="78">
        <f>SUBTOTAL(9,I152:I246)</f>
        <v>16284874557.380003</v>
      </c>
    </row>
    <row r="6" spans="1:12" x14ac:dyDescent="0.35">
      <c r="A6" s="77" t="s">
        <v>863</v>
      </c>
      <c r="B6" s="26"/>
      <c r="C6" s="78">
        <f>SUBTOTAL(9,C9:C151)</f>
        <v>18858725031.430016</v>
      </c>
      <c r="D6" s="77" t="s">
        <v>863</v>
      </c>
      <c r="E6" s="26"/>
      <c r="F6" s="78">
        <f>SUBTOTAL(9,F9:F151)</f>
        <v>18858725031.430016</v>
      </c>
      <c r="I6" s="78">
        <f>SUBTOTAL(9,I9:I151)</f>
        <v>16284877242.550005</v>
      </c>
      <c r="L6" s="26"/>
    </row>
    <row r="7" spans="1:12" x14ac:dyDescent="0.35">
      <c r="C7" s="79">
        <f>SUBTOTAL(9,C9:C151)-SUBTOTAL(9,C152:C246)</f>
        <v>-4368.4299850463867</v>
      </c>
      <c r="F7" s="79">
        <f>SUBTOTAL(9,F9:F151)-SUBTOTAL(9,F152:F246)</f>
        <v>-4368.4299850463867</v>
      </c>
      <c r="H7" s="26"/>
      <c r="I7" s="79">
        <f>SUBTOTAL(9,I9:I151)-SUBTOTAL(9,I152:I246)</f>
        <v>2685.1700019836426</v>
      </c>
      <c r="L7" s="79">
        <f>SUBTOTAL(9,L9:L151)+SUBTOTAL(9,L152:L246)</f>
        <v>0</v>
      </c>
    </row>
    <row r="8" spans="1:12" x14ac:dyDescent="0.35">
      <c r="J8" t="s">
        <v>189</v>
      </c>
    </row>
    <row r="9" spans="1:12" x14ac:dyDescent="0.35">
      <c r="A9" s="80" t="s">
        <v>190</v>
      </c>
      <c r="B9" s="80" t="s">
        <v>191</v>
      </c>
      <c r="C9" s="240">
        <v>83694.12</v>
      </c>
      <c r="D9" s="80" t="s">
        <v>190</v>
      </c>
      <c r="E9" s="80" t="s">
        <v>191</v>
      </c>
      <c r="F9" s="240">
        <v>83694.12</v>
      </c>
      <c r="G9" s="80" t="s">
        <v>190</v>
      </c>
      <c r="H9" s="80" t="s">
        <v>191</v>
      </c>
      <c r="I9" s="81">
        <v>77217.23</v>
      </c>
      <c r="J9" t="str">
        <f>LEFT(A9,3)</f>
        <v>100</v>
      </c>
      <c r="K9" s="83" t="s">
        <v>192</v>
      </c>
      <c r="L9" s="26">
        <f t="shared" ref="L9:L73" si="0">F9-C9</f>
        <v>0</v>
      </c>
    </row>
    <row r="10" spans="1:12" x14ac:dyDescent="0.35">
      <c r="A10" s="84" t="s">
        <v>193</v>
      </c>
      <c r="B10" s="84" t="s">
        <v>194</v>
      </c>
      <c r="C10" s="241">
        <v>336373.54</v>
      </c>
      <c r="D10" s="84" t="s">
        <v>193</v>
      </c>
      <c r="E10" s="84" t="s">
        <v>194</v>
      </c>
      <c r="F10" s="241">
        <v>336373.54</v>
      </c>
      <c r="G10" s="84" t="s">
        <v>193</v>
      </c>
      <c r="H10" s="84" t="s">
        <v>194</v>
      </c>
      <c r="I10" s="85">
        <v>188234.04</v>
      </c>
      <c r="J10" t="str">
        <f t="shared" ref="J10:J73" si="1">LEFT(A10,3)</f>
        <v>100</v>
      </c>
      <c r="K10" s="83" t="s">
        <v>192</v>
      </c>
      <c r="L10" s="26">
        <f t="shared" si="0"/>
        <v>0</v>
      </c>
    </row>
    <row r="11" spans="1:12" x14ac:dyDescent="0.35">
      <c r="A11" s="80" t="s">
        <v>195</v>
      </c>
      <c r="B11" s="80" t="s">
        <v>196</v>
      </c>
      <c r="C11" s="240">
        <v>8907612.5099999998</v>
      </c>
      <c r="D11" s="80" t="s">
        <v>195</v>
      </c>
      <c r="E11" s="80" t="s">
        <v>196</v>
      </c>
      <c r="F11" s="240">
        <v>8907612.5099999998</v>
      </c>
      <c r="G11" s="80" t="s">
        <v>195</v>
      </c>
      <c r="H11" s="80" t="s">
        <v>196</v>
      </c>
      <c r="I11" s="81">
        <v>6190156.5499999998</v>
      </c>
      <c r="J11" t="str">
        <f t="shared" si="1"/>
        <v>100</v>
      </c>
      <c r="K11" s="83" t="s">
        <v>192</v>
      </c>
      <c r="L11" s="26">
        <f t="shared" si="0"/>
        <v>0</v>
      </c>
    </row>
    <row r="12" spans="1:12" x14ac:dyDescent="0.35">
      <c r="A12" s="84" t="s">
        <v>197</v>
      </c>
      <c r="B12" s="84" t="s">
        <v>198</v>
      </c>
      <c r="C12" s="241">
        <v>1020691840.25</v>
      </c>
      <c r="D12" s="84" t="s">
        <v>197</v>
      </c>
      <c r="E12" s="84" t="s">
        <v>198</v>
      </c>
      <c r="F12" s="241">
        <v>1020691840.25</v>
      </c>
      <c r="G12" s="84" t="s">
        <v>197</v>
      </c>
      <c r="H12" s="84" t="s">
        <v>198</v>
      </c>
      <c r="I12" s="85">
        <v>805419208.85000002</v>
      </c>
      <c r="J12" t="str">
        <f t="shared" si="1"/>
        <v>100</v>
      </c>
      <c r="K12" s="83" t="s">
        <v>192</v>
      </c>
      <c r="L12" s="26">
        <f t="shared" si="0"/>
        <v>0</v>
      </c>
    </row>
    <row r="13" spans="1:12" x14ac:dyDescent="0.35">
      <c r="A13" s="80" t="s">
        <v>199</v>
      </c>
      <c r="B13" s="80" t="s">
        <v>200</v>
      </c>
      <c r="C13" s="240">
        <v>560800041.12</v>
      </c>
      <c r="D13" s="80" t="s">
        <v>199</v>
      </c>
      <c r="E13" s="80" t="s">
        <v>200</v>
      </c>
      <c r="F13" s="240">
        <v>560800041.12</v>
      </c>
      <c r="G13" s="80" t="s">
        <v>199</v>
      </c>
      <c r="H13" s="80" t="s">
        <v>200</v>
      </c>
      <c r="I13" s="81">
        <v>616349147.44000006</v>
      </c>
      <c r="J13" t="str">
        <f t="shared" si="1"/>
        <v>100</v>
      </c>
      <c r="K13" s="83" t="s">
        <v>192</v>
      </c>
      <c r="L13" s="26">
        <f t="shared" si="0"/>
        <v>0</v>
      </c>
    </row>
    <row r="14" spans="1:12" x14ac:dyDescent="0.35">
      <c r="A14" s="80" t="s">
        <v>1001</v>
      </c>
      <c r="B14" s="80" t="s">
        <v>1002</v>
      </c>
      <c r="C14" s="241">
        <v>10059486</v>
      </c>
      <c r="D14" s="80" t="s">
        <v>1001</v>
      </c>
      <c r="E14" s="80" t="s">
        <v>1002</v>
      </c>
      <c r="F14" s="241">
        <v>10059486</v>
      </c>
      <c r="G14" s="80" t="s">
        <v>1001</v>
      </c>
      <c r="H14" s="80" t="s">
        <v>1002</v>
      </c>
      <c r="I14" s="81">
        <v>0</v>
      </c>
      <c r="J14" t="str">
        <f t="shared" si="1"/>
        <v>101</v>
      </c>
      <c r="K14" s="83" t="s">
        <v>203</v>
      </c>
      <c r="L14" s="26">
        <f t="shared" si="0"/>
        <v>0</v>
      </c>
    </row>
    <row r="15" spans="1:12" x14ac:dyDescent="0.35">
      <c r="A15" s="84" t="s">
        <v>201</v>
      </c>
      <c r="B15" s="84" t="s">
        <v>202</v>
      </c>
      <c r="C15" s="240">
        <v>1281583430.3099999</v>
      </c>
      <c r="D15" s="84" t="s">
        <v>201</v>
      </c>
      <c r="E15" s="84" t="s">
        <v>202</v>
      </c>
      <c r="F15" s="240">
        <v>1281583430.3099999</v>
      </c>
      <c r="G15" s="84" t="s">
        <v>201</v>
      </c>
      <c r="H15" s="84" t="s">
        <v>202</v>
      </c>
      <c r="I15" s="85">
        <v>793184333.34000003</v>
      </c>
      <c r="J15" t="str">
        <f t="shared" si="1"/>
        <v>101</v>
      </c>
      <c r="K15" s="83" t="s">
        <v>203</v>
      </c>
      <c r="L15" s="26">
        <f t="shared" si="0"/>
        <v>0</v>
      </c>
    </row>
    <row r="16" spans="1:12" x14ac:dyDescent="0.35">
      <c r="A16" s="80" t="s">
        <v>204</v>
      </c>
      <c r="B16" s="80" t="s">
        <v>205</v>
      </c>
      <c r="C16" s="241">
        <v>502916970.81</v>
      </c>
      <c r="D16" s="80" t="s">
        <v>204</v>
      </c>
      <c r="E16" s="80" t="s">
        <v>205</v>
      </c>
      <c r="F16" s="241">
        <v>502916970.81</v>
      </c>
      <c r="G16" s="80" t="s">
        <v>204</v>
      </c>
      <c r="H16" s="80" t="s">
        <v>205</v>
      </c>
      <c r="I16" s="81">
        <v>331763073.13</v>
      </c>
      <c r="J16" t="str">
        <f t="shared" si="1"/>
        <v>101</v>
      </c>
      <c r="K16" s="83" t="s">
        <v>203</v>
      </c>
      <c r="L16" s="26">
        <f t="shared" si="0"/>
        <v>0</v>
      </c>
    </row>
    <row r="17" spans="1:12" x14ac:dyDescent="0.35">
      <c r="A17" s="80" t="s">
        <v>206</v>
      </c>
      <c r="B17" s="80" t="s">
        <v>207</v>
      </c>
      <c r="C17" s="81">
        <v>0</v>
      </c>
      <c r="D17" s="80" t="s">
        <v>206</v>
      </c>
      <c r="E17" s="80" t="s">
        <v>207</v>
      </c>
      <c r="F17" s="81">
        <v>0</v>
      </c>
      <c r="G17" s="80" t="s">
        <v>206</v>
      </c>
      <c r="H17" s="80" t="s">
        <v>207</v>
      </c>
      <c r="I17" s="81">
        <v>0</v>
      </c>
      <c r="J17" t="str">
        <f t="shared" si="1"/>
        <v>101</v>
      </c>
      <c r="K17" s="83" t="s">
        <v>203</v>
      </c>
      <c r="L17" s="26">
        <f t="shared" si="0"/>
        <v>0</v>
      </c>
    </row>
    <row r="18" spans="1:12" x14ac:dyDescent="0.35">
      <c r="A18" s="84" t="s">
        <v>208</v>
      </c>
      <c r="B18" s="84" t="s">
        <v>209</v>
      </c>
      <c r="C18" s="240">
        <v>731786110.20000005</v>
      </c>
      <c r="D18" s="84" t="s">
        <v>208</v>
      </c>
      <c r="E18" s="84" t="s">
        <v>209</v>
      </c>
      <c r="F18" s="240">
        <v>731786110.20000005</v>
      </c>
      <c r="G18" s="84" t="s">
        <v>208</v>
      </c>
      <c r="H18" s="84" t="s">
        <v>209</v>
      </c>
      <c r="I18" s="85">
        <v>656439227.87</v>
      </c>
      <c r="J18" t="str">
        <f t="shared" si="1"/>
        <v>102</v>
      </c>
      <c r="K18" s="83" t="s">
        <v>210</v>
      </c>
      <c r="L18" s="26">
        <f t="shared" si="0"/>
        <v>0</v>
      </c>
    </row>
    <row r="19" spans="1:12" x14ac:dyDescent="0.35">
      <c r="A19" s="80" t="s">
        <v>211</v>
      </c>
      <c r="B19" s="80" t="s">
        <v>212</v>
      </c>
      <c r="C19" s="241">
        <v>502879846.64999998</v>
      </c>
      <c r="D19" s="80" t="s">
        <v>211</v>
      </c>
      <c r="E19" s="80" t="s">
        <v>212</v>
      </c>
      <c r="F19" s="241">
        <v>502879846.64999998</v>
      </c>
      <c r="G19" s="80" t="s">
        <v>211</v>
      </c>
      <c r="H19" s="80" t="s">
        <v>212</v>
      </c>
      <c r="I19" s="81">
        <v>462471779.79000002</v>
      </c>
      <c r="J19" t="str">
        <f t="shared" si="1"/>
        <v>102</v>
      </c>
      <c r="K19" s="83" t="s">
        <v>210</v>
      </c>
      <c r="L19" s="26">
        <f t="shared" si="0"/>
        <v>0</v>
      </c>
    </row>
    <row r="20" spans="1:12" x14ac:dyDescent="0.35">
      <c r="A20" s="84" t="s">
        <v>213</v>
      </c>
      <c r="B20" s="84" t="s">
        <v>214</v>
      </c>
      <c r="C20" s="240">
        <v>338702914.89999998</v>
      </c>
      <c r="D20" s="84" t="s">
        <v>213</v>
      </c>
      <c r="E20" s="84" t="s">
        <v>214</v>
      </c>
      <c r="F20" s="240">
        <v>338702914.89999998</v>
      </c>
      <c r="G20" s="84" t="s">
        <v>213</v>
      </c>
      <c r="H20" s="84" t="s">
        <v>214</v>
      </c>
      <c r="I20" s="235">
        <v>288355461.44999999</v>
      </c>
      <c r="J20" t="str">
        <f t="shared" si="1"/>
        <v>102</v>
      </c>
      <c r="K20" s="83" t="s">
        <v>210</v>
      </c>
      <c r="L20" s="26">
        <f t="shared" si="0"/>
        <v>0</v>
      </c>
    </row>
    <row r="21" spans="1:12" x14ac:dyDescent="0.35">
      <c r="A21" s="80" t="s">
        <v>215</v>
      </c>
      <c r="B21" s="80" t="s">
        <v>216</v>
      </c>
      <c r="C21" s="241">
        <v>30781639.149999999</v>
      </c>
      <c r="D21" s="80" t="s">
        <v>215</v>
      </c>
      <c r="E21" s="80" t="s">
        <v>216</v>
      </c>
      <c r="F21" s="241">
        <v>30781639.149999999</v>
      </c>
      <c r="G21" s="80" t="s">
        <v>215</v>
      </c>
      <c r="H21" s="80" t="s">
        <v>216</v>
      </c>
      <c r="I21" s="236">
        <v>28244656.170000002</v>
      </c>
      <c r="J21" t="str">
        <f t="shared" si="1"/>
        <v>102</v>
      </c>
      <c r="K21" s="83" t="s">
        <v>210</v>
      </c>
      <c r="L21" s="26">
        <f t="shared" si="0"/>
        <v>0</v>
      </c>
    </row>
    <row r="22" spans="1:12" x14ac:dyDescent="0.35">
      <c r="A22" s="84" t="s">
        <v>217</v>
      </c>
      <c r="B22" s="84" t="s">
        <v>218</v>
      </c>
      <c r="C22" s="240">
        <v>15027521.17</v>
      </c>
      <c r="D22" s="84" t="s">
        <v>217</v>
      </c>
      <c r="E22" s="84" t="s">
        <v>218</v>
      </c>
      <c r="F22" s="240">
        <v>15027521.17</v>
      </c>
      <c r="G22" s="84" t="s">
        <v>217</v>
      </c>
      <c r="H22" s="84" t="s">
        <v>218</v>
      </c>
      <c r="I22" s="235">
        <v>14180192.32</v>
      </c>
      <c r="J22" t="str">
        <f t="shared" si="1"/>
        <v>102</v>
      </c>
      <c r="K22" s="83" t="s">
        <v>210</v>
      </c>
      <c r="L22" s="26">
        <f t="shared" si="0"/>
        <v>0</v>
      </c>
    </row>
    <row r="23" spans="1:12" x14ac:dyDescent="0.35">
      <c r="A23" s="80" t="s">
        <v>219</v>
      </c>
      <c r="B23" s="80" t="s">
        <v>220</v>
      </c>
      <c r="C23" s="241">
        <v>378454164.13999999</v>
      </c>
      <c r="D23" s="80" t="s">
        <v>219</v>
      </c>
      <c r="E23" s="80" t="s">
        <v>220</v>
      </c>
      <c r="F23" s="241">
        <v>378454164.13999999</v>
      </c>
      <c r="G23" s="80" t="s">
        <v>219</v>
      </c>
      <c r="H23" s="80" t="s">
        <v>220</v>
      </c>
      <c r="I23" s="236">
        <v>158915048.16999999</v>
      </c>
      <c r="J23" t="str">
        <f t="shared" si="1"/>
        <v>102</v>
      </c>
      <c r="K23" s="83" t="s">
        <v>210</v>
      </c>
      <c r="L23" s="26">
        <f t="shared" si="0"/>
        <v>0</v>
      </c>
    </row>
    <row r="24" spans="1:12" x14ac:dyDescent="0.35">
      <c r="A24" s="84" t="s">
        <v>221</v>
      </c>
      <c r="B24" s="84" t="s">
        <v>222</v>
      </c>
      <c r="C24" s="240">
        <v>1666185.23</v>
      </c>
      <c r="D24" s="84" t="s">
        <v>221</v>
      </c>
      <c r="E24" s="84" t="s">
        <v>222</v>
      </c>
      <c r="F24" s="240">
        <v>1666185.23</v>
      </c>
      <c r="G24" s="84" t="s">
        <v>221</v>
      </c>
      <c r="H24" s="84" t="s">
        <v>222</v>
      </c>
      <c r="I24" s="235">
        <v>1525929.96</v>
      </c>
      <c r="J24" t="str">
        <f t="shared" si="1"/>
        <v>102</v>
      </c>
      <c r="K24" s="83" t="s">
        <v>210</v>
      </c>
      <c r="L24" s="26">
        <f t="shared" si="0"/>
        <v>0</v>
      </c>
    </row>
    <row r="25" spans="1:12" x14ac:dyDescent="0.35">
      <c r="A25" s="80" t="s">
        <v>223</v>
      </c>
      <c r="B25" s="80" t="s">
        <v>224</v>
      </c>
      <c r="C25" s="241">
        <v>114764032.2</v>
      </c>
      <c r="D25" s="80" t="s">
        <v>223</v>
      </c>
      <c r="E25" s="80" t="s">
        <v>224</v>
      </c>
      <c r="F25" s="241">
        <v>114764032.2</v>
      </c>
      <c r="G25" s="80" t="s">
        <v>223</v>
      </c>
      <c r="H25" s="80" t="s">
        <v>224</v>
      </c>
      <c r="I25" s="236">
        <v>113762950.88</v>
      </c>
      <c r="J25" t="str">
        <f t="shared" si="1"/>
        <v>102</v>
      </c>
      <c r="K25" s="83" t="s">
        <v>210</v>
      </c>
      <c r="L25" s="26">
        <f t="shared" si="0"/>
        <v>0</v>
      </c>
    </row>
    <row r="26" spans="1:12" x14ac:dyDescent="0.35">
      <c r="A26" s="84" t="s">
        <v>225</v>
      </c>
      <c r="B26" s="84" t="s">
        <v>226</v>
      </c>
      <c r="C26" s="240">
        <v>1408759.8</v>
      </c>
      <c r="D26" s="84" t="s">
        <v>225</v>
      </c>
      <c r="E26" s="84" t="s">
        <v>226</v>
      </c>
      <c r="F26" s="240">
        <v>1408759.8</v>
      </c>
      <c r="G26" s="84" t="s">
        <v>225</v>
      </c>
      <c r="H26" s="84" t="s">
        <v>226</v>
      </c>
      <c r="I26" s="235">
        <v>1450724.95</v>
      </c>
      <c r="J26" t="str">
        <f t="shared" si="1"/>
        <v>102</v>
      </c>
      <c r="K26" s="83" t="s">
        <v>210</v>
      </c>
      <c r="L26" s="26">
        <f t="shared" si="0"/>
        <v>0</v>
      </c>
    </row>
    <row r="27" spans="1:12" x14ac:dyDescent="0.35">
      <c r="A27" s="80" t="s">
        <v>227</v>
      </c>
      <c r="B27" s="80" t="s">
        <v>228</v>
      </c>
      <c r="C27" s="241">
        <v>5673630.5599999996</v>
      </c>
      <c r="D27" s="80" t="s">
        <v>227</v>
      </c>
      <c r="E27" s="80" t="s">
        <v>228</v>
      </c>
      <c r="F27" s="241">
        <v>5673630.5599999996</v>
      </c>
      <c r="G27" s="80" t="s">
        <v>227</v>
      </c>
      <c r="H27" s="80" t="s">
        <v>228</v>
      </c>
      <c r="I27" s="236">
        <v>4750543.09</v>
      </c>
      <c r="J27" t="str">
        <f t="shared" si="1"/>
        <v>102</v>
      </c>
      <c r="K27" s="83" t="s">
        <v>210</v>
      </c>
      <c r="L27" s="26">
        <f t="shared" si="0"/>
        <v>0</v>
      </c>
    </row>
    <row r="28" spans="1:12" x14ac:dyDescent="0.35">
      <c r="A28" s="84" t="s">
        <v>229</v>
      </c>
      <c r="B28" s="84" t="s">
        <v>230</v>
      </c>
      <c r="C28" s="240">
        <v>28175054.390000001</v>
      </c>
      <c r="D28" s="84" t="s">
        <v>229</v>
      </c>
      <c r="E28" s="84" t="s">
        <v>230</v>
      </c>
      <c r="F28" s="240">
        <v>28175054.390000001</v>
      </c>
      <c r="G28" s="84" t="s">
        <v>229</v>
      </c>
      <c r="H28" s="84" t="s">
        <v>230</v>
      </c>
      <c r="I28" s="235">
        <v>27753849.120000001</v>
      </c>
      <c r="J28" t="str">
        <f t="shared" si="1"/>
        <v>102</v>
      </c>
      <c r="K28" s="83" t="s">
        <v>210</v>
      </c>
      <c r="L28" s="26">
        <f t="shared" si="0"/>
        <v>0</v>
      </c>
    </row>
    <row r="29" spans="1:12" x14ac:dyDescent="0.35">
      <c r="A29" s="80" t="s">
        <v>231</v>
      </c>
      <c r="B29" s="80" t="s">
        <v>232</v>
      </c>
      <c r="C29" s="241">
        <v>138607.44</v>
      </c>
      <c r="D29" s="80" t="s">
        <v>231</v>
      </c>
      <c r="E29" s="80" t="s">
        <v>232</v>
      </c>
      <c r="F29" s="241">
        <v>138607.44</v>
      </c>
      <c r="G29" s="80" t="s">
        <v>231</v>
      </c>
      <c r="H29" s="80" t="s">
        <v>232</v>
      </c>
      <c r="I29" s="236">
        <v>168467.84</v>
      </c>
      <c r="J29" t="str">
        <f t="shared" si="1"/>
        <v>102</v>
      </c>
      <c r="K29" s="83" t="s">
        <v>210</v>
      </c>
      <c r="L29" s="26">
        <f t="shared" si="0"/>
        <v>0</v>
      </c>
    </row>
    <row r="30" spans="1:12" x14ac:dyDescent="0.35">
      <c r="A30" s="84" t="s">
        <v>233</v>
      </c>
      <c r="B30" s="84" t="s">
        <v>234</v>
      </c>
      <c r="C30" s="240">
        <v>18624379.289999999</v>
      </c>
      <c r="D30" s="84" t="s">
        <v>233</v>
      </c>
      <c r="E30" s="84" t="s">
        <v>234</v>
      </c>
      <c r="F30" s="240">
        <v>18624379.289999999</v>
      </c>
      <c r="G30" s="84" t="s">
        <v>233</v>
      </c>
      <c r="H30" s="84" t="s">
        <v>234</v>
      </c>
      <c r="I30" s="235">
        <v>15520022.16</v>
      </c>
      <c r="J30" t="str">
        <f t="shared" si="1"/>
        <v>102</v>
      </c>
      <c r="K30" s="83" t="s">
        <v>210</v>
      </c>
      <c r="L30" s="26">
        <f t="shared" si="0"/>
        <v>0</v>
      </c>
    </row>
    <row r="31" spans="1:12" x14ac:dyDescent="0.35">
      <c r="A31" s="80" t="s">
        <v>235</v>
      </c>
      <c r="B31" s="80" t="s">
        <v>236</v>
      </c>
      <c r="C31" s="241">
        <v>13700482.1</v>
      </c>
      <c r="D31" s="80" t="s">
        <v>235</v>
      </c>
      <c r="E31" s="80" t="s">
        <v>236</v>
      </c>
      <c r="F31" s="241">
        <v>13700482.1</v>
      </c>
      <c r="G31" s="80" t="s">
        <v>235</v>
      </c>
      <c r="H31" s="80" t="s">
        <v>236</v>
      </c>
      <c r="I31" s="236">
        <v>15534681.189999999</v>
      </c>
      <c r="J31" t="str">
        <f t="shared" si="1"/>
        <v>102</v>
      </c>
      <c r="K31" s="83" t="s">
        <v>210</v>
      </c>
      <c r="L31" s="26">
        <f t="shared" si="0"/>
        <v>0</v>
      </c>
    </row>
    <row r="32" spans="1:12" x14ac:dyDescent="0.35">
      <c r="A32" s="84" t="s">
        <v>237</v>
      </c>
      <c r="B32" s="84" t="s">
        <v>238</v>
      </c>
      <c r="C32" s="240">
        <v>46442101.030000001</v>
      </c>
      <c r="D32" s="84" t="s">
        <v>237</v>
      </c>
      <c r="E32" s="84" t="s">
        <v>238</v>
      </c>
      <c r="F32" s="240">
        <v>46442101.030000001</v>
      </c>
      <c r="G32" s="84" t="s">
        <v>237</v>
      </c>
      <c r="H32" s="84" t="s">
        <v>238</v>
      </c>
      <c r="I32" s="235">
        <v>46866130.259999998</v>
      </c>
      <c r="J32" t="str">
        <f t="shared" si="1"/>
        <v>102</v>
      </c>
      <c r="K32" s="83" t="s">
        <v>210</v>
      </c>
      <c r="L32" s="26">
        <f t="shared" si="0"/>
        <v>0</v>
      </c>
    </row>
    <row r="33" spans="1:12" x14ac:dyDescent="0.35">
      <c r="A33" s="84" t="s">
        <v>239</v>
      </c>
      <c r="B33" s="84" t="s">
        <v>240</v>
      </c>
      <c r="C33" s="240">
        <v>-143029914.55000001</v>
      </c>
      <c r="D33" s="84" t="s">
        <v>239</v>
      </c>
      <c r="E33" s="84" t="s">
        <v>240</v>
      </c>
      <c r="F33" s="240">
        <v>-143029914.55000001</v>
      </c>
      <c r="G33" s="84" t="s">
        <v>239</v>
      </c>
      <c r="H33" s="84" t="s">
        <v>240</v>
      </c>
      <c r="I33" s="235">
        <v>-135476337.56</v>
      </c>
      <c r="J33" t="str">
        <f t="shared" si="1"/>
        <v>102</v>
      </c>
      <c r="K33" s="83" t="s">
        <v>210</v>
      </c>
      <c r="L33" s="26">
        <f t="shared" si="0"/>
        <v>0</v>
      </c>
    </row>
    <row r="34" spans="1:12" x14ac:dyDescent="0.35">
      <c r="A34" s="80" t="s">
        <v>241</v>
      </c>
      <c r="B34" s="80" t="s">
        <v>242</v>
      </c>
      <c r="C34" s="241">
        <v>-59656623.170000002</v>
      </c>
      <c r="D34" s="80" t="s">
        <v>241</v>
      </c>
      <c r="E34" s="80" t="s">
        <v>242</v>
      </c>
      <c r="F34" s="241">
        <v>-59656623.170000002</v>
      </c>
      <c r="G34" s="80" t="s">
        <v>241</v>
      </c>
      <c r="H34" s="80" t="s">
        <v>242</v>
      </c>
      <c r="I34" s="236">
        <v>-54974014.170000002</v>
      </c>
      <c r="J34" t="str">
        <f t="shared" si="1"/>
        <v>102</v>
      </c>
      <c r="K34" s="83" t="s">
        <v>210</v>
      </c>
      <c r="L34" s="26">
        <f t="shared" si="0"/>
        <v>0</v>
      </c>
    </row>
    <row r="35" spans="1:12" x14ac:dyDescent="0.35">
      <c r="A35" s="84" t="s">
        <v>243</v>
      </c>
      <c r="B35" s="84" t="s">
        <v>244</v>
      </c>
      <c r="C35" s="240">
        <v>-25255843.850000001</v>
      </c>
      <c r="D35" s="84" t="s">
        <v>243</v>
      </c>
      <c r="E35" s="84" t="s">
        <v>244</v>
      </c>
      <c r="F35" s="240">
        <v>-25255843.850000001</v>
      </c>
      <c r="G35" s="84" t="s">
        <v>243</v>
      </c>
      <c r="H35" s="84" t="s">
        <v>244</v>
      </c>
      <c r="I35" s="235">
        <v>-24350021.969999999</v>
      </c>
      <c r="J35" t="str">
        <f t="shared" si="1"/>
        <v>102</v>
      </c>
      <c r="K35" s="83" t="s">
        <v>210</v>
      </c>
      <c r="L35" s="26">
        <f t="shared" si="0"/>
        <v>0</v>
      </c>
    </row>
    <row r="36" spans="1:12" x14ac:dyDescent="0.35">
      <c r="A36" s="80" t="s">
        <v>245</v>
      </c>
      <c r="B36" s="80" t="s">
        <v>246</v>
      </c>
      <c r="C36" s="241">
        <v>-3138062.14</v>
      </c>
      <c r="D36" s="80" t="s">
        <v>245</v>
      </c>
      <c r="E36" s="80" t="s">
        <v>246</v>
      </c>
      <c r="F36" s="241">
        <v>-3138062.14</v>
      </c>
      <c r="G36" s="80" t="s">
        <v>245</v>
      </c>
      <c r="H36" s="80" t="s">
        <v>246</v>
      </c>
      <c r="I36" s="236">
        <v>-2917853.46</v>
      </c>
      <c r="J36" t="str">
        <f t="shared" si="1"/>
        <v>102</v>
      </c>
      <c r="K36" s="83" t="s">
        <v>210</v>
      </c>
      <c r="L36" s="26">
        <f t="shared" si="0"/>
        <v>0</v>
      </c>
    </row>
    <row r="37" spans="1:12" x14ac:dyDescent="0.35">
      <c r="A37" s="84" t="s">
        <v>247</v>
      </c>
      <c r="B37" s="84" t="s">
        <v>248</v>
      </c>
      <c r="C37" s="240">
        <v>-913164.27</v>
      </c>
      <c r="D37" s="84" t="s">
        <v>247</v>
      </c>
      <c r="E37" s="84" t="s">
        <v>248</v>
      </c>
      <c r="F37" s="240">
        <v>-913164.27</v>
      </c>
      <c r="G37" s="84" t="s">
        <v>247</v>
      </c>
      <c r="H37" s="84" t="s">
        <v>248</v>
      </c>
      <c r="I37" s="235">
        <v>-1135809.8400000001</v>
      </c>
      <c r="J37" t="str">
        <f t="shared" si="1"/>
        <v>102</v>
      </c>
      <c r="K37" s="83" t="s">
        <v>210</v>
      </c>
      <c r="L37" s="26">
        <f t="shared" si="0"/>
        <v>0</v>
      </c>
    </row>
    <row r="38" spans="1:12" x14ac:dyDescent="0.35">
      <c r="A38" s="80" t="s">
        <v>249</v>
      </c>
      <c r="B38" s="80" t="s">
        <v>250</v>
      </c>
      <c r="C38" s="241">
        <v>-21727074.02</v>
      </c>
      <c r="D38" s="80" t="s">
        <v>249</v>
      </c>
      <c r="E38" s="80" t="s">
        <v>250</v>
      </c>
      <c r="F38" s="241">
        <v>-21727074.02</v>
      </c>
      <c r="G38" s="80" t="s">
        <v>249</v>
      </c>
      <c r="H38" s="80" t="s">
        <v>250</v>
      </c>
      <c r="I38" s="236">
        <v>-21983953.66</v>
      </c>
      <c r="J38" t="str">
        <f t="shared" si="1"/>
        <v>102</v>
      </c>
      <c r="K38" s="83" t="s">
        <v>210</v>
      </c>
      <c r="L38" s="26">
        <f t="shared" si="0"/>
        <v>0</v>
      </c>
    </row>
    <row r="39" spans="1:12" x14ac:dyDescent="0.35">
      <c r="A39" s="84" t="s">
        <v>251</v>
      </c>
      <c r="B39" s="84" t="s">
        <v>252</v>
      </c>
      <c r="C39" s="240">
        <v>-984454.72</v>
      </c>
      <c r="D39" s="84" t="s">
        <v>251</v>
      </c>
      <c r="E39" s="84" t="s">
        <v>252</v>
      </c>
      <c r="F39" s="240">
        <v>-984454.72</v>
      </c>
      <c r="G39" s="84" t="s">
        <v>251</v>
      </c>
      <c r="H39" s="84" t="s">
        <v>252</v>
      </c>
      <c r="I39" s="235">
        <v>-961454.46</v>
      </c>
      <c r="J39" t="str">
        <f t="shared" si="1"/>
        <v>102</v>
      </c>
      <c r="K39" s="83" t="s">
        <v>210</v>
      </c>
      <c r="L39" s="26">
        <f t="shared" si="0"/>
        <v>0</v>
      </c>
    </row>
    <row r="40" spans="1:12" x14ac:dyDescent="0.35">
      <c r="A40" s="80" t="s">
        <v>253</v>
      </c>
      <c r="B40" s="80" t="s">
        <v>254</v>
      </c>
      <c r="C40" s="241">
        <v>-2370939.09</v>
      </c>
      <c r="D40" s="80" t="s">
        <v>253</v>
      </c>
      <c r="E40" s="80" t="s">
        <v>254</v>
      </c>
      <c r="F40" s="241">
        <v>-2370939.09</v>
      </c>
      <c r="G40" s="80" t="s">
        <v>253</v>
      </c>
      <c r="H40" s="80" t="s">
        <v>254</v>
      </c>
      <c r="I40" s="236">
        <v>-3475722.64</v>
      </c>
      <c r="J40" t="str">
        <f t="shared" si="1"/>
        <v>102</v>
      </c>
      <c r="K40" s="83" t="s">
        <v>210</v>
      </c>
      <c r="L40" s="26">
        <f t="shared" si="0"/>
        <v>0</v>
      </c>
    </row>
    <row r="41" spans="1:12" x14ac:dyDescent="0.35">
      <c r="A41" s="84" t="s">
        <v>255</v>
      </c>
      <c r="B41" s="84" t="s">
        <v>256</v>
      </c>
      <c r="C41" s="240">
        <v>-65577.990000000005</v>
      </c>
      <c r="D41" s="84" t="s">
        <v>255</v>
      </c>
      <c r="E41" s="84" t="s">
        <v>256</v>
      </c>
      <c r="F41" s="240">
        <v>-65577.990000000005</v>
      </c>
      <c r="G41" s="84" t="s">
        <v>255</v>
      </c>
      <c r="H41" s="84" t="s">
        <v>256</v>
      </c>
      <c r="I41" s="235">
        <v>-67190.37</v>
      </c>
      <c r="J41" t="str">
        <f t="shared" si="1"/>
        <v>102</v>
      </c>
      <c r="K41" s="83" t="s">
        <v>210</v>
      </c>
      <c r="L41" s="26">
        <f t="shared" si="0"/>
        <v>0</v>
      </c>
    </row>
    <row r="42" spans="1:12" x14ac:dyDescent="0.35">
      <c r="A42" s="80" t="s">
        <v>257</v>
      </c>
      <c r="B42" s="80" t="s">
        <v>258</v>
      </c>
      <c r="C42" s="241">
        <v>-291645.46999999997</v>
      </c>
      <c r="D42" s="80" t="s">
        <v>257</v>
      </c>
      <c r="E42" s="80" t="s">
        <v>258</v>
      </c>
      <c r="F42" s="241">
        <v>-291645.46999999997</v>
      </c>
      <c r="G42" s="80" t="s">
        <v>257</v>
      </c>
      <c r="H42" s="80" t="s">
        <v>258</v>
      </c>
      <c r="I42" s="236">
        <v>-313959.40000000002</v>
      </c>
      <c r="J42" t="str">
        <f t="shared" si="1"/>
        <v>102</v>
      </c>
      <c r="K42" s="83" t="s">
        <v>210</v>
      </c>
      <c r="L42" s="26">
        <f t="shared" si="0"/>
        <v>0</v>
      </c>
    </row>
    <row r="43" spans="1:12" x14ac:dyDescent="0.35">
      <c r="A43" s="84" t="s">
        <v>259</v>
      </c>
      <c r="B43" s="84" t="s">
        <v>260</v>
      </c>
      <c r="C43" s="240">
        <v>-694168.19</v>
      </c>
      <c r="D43" s="84" t="s">
        <v>259</v>
      </c>
      <c r="E43" s="84" t="s">
        <v>260</v>
      </c>
      <c r="F43" s="240">
        <v>-694168.19</v>
      </c>
      <c r="G43" s="84" t="s">
        <v>259</v>
      </c>
      <c r="H43" s="84" t="s">
        <v>260</v>
      </c>
      <c r="I43" s="235">
        <v>-1019535.36</v>
      </c>
      <c r="J43" t="str">
        <f t="shared" si="1"/>
        <v>102</v>
      </c>
      <c r="K43" s="83" t="s">
        <v>210</v>
      </c>
      <c r="L43" s="26">
        <f t="shared" si="0"/>
        <v>0</v>
      </c>
    </row>
    <row r="44" spans="1:12" x14ac:dyDescent="0.35">
      <c r="A44" s="80" t="s">
        <v>261</v>
      </c>
      <c r="B44" s="80" t="s">
        <v>262</v>
      </c>
      <c r="C44" s="241">
        <v>-8292070.9699999997</v>
      </c>
      <c r="D44" s="80" t="s">
        <v>261</v>
      </c>
      <c r="E44" s="80" t="s">
        <v>262</v>
      </c>
      <c r="F44" s="241">
        <v>-8292070.9699999997</v>
      </c>
      <c r="G44" s="80" t="s">
        <v>261</v>
      </c>
      <c r="H44" s="80" t="s">
        <v>262</v>
      </c>
      <c r="I44" s="236">
        <v>-8345967.3499999996</v>
      </c>
      <c r="J44" t="str">
        <f t="shared" si="1"/>
        <v>102</v>
      </c>
      <c r="K44" s="83" t="s">
        <v>210</v>
      </c>
      <c r="L44" s="26">
        <f t="shared" si="0"/>
        <v>0</v>
      </c>
    </row>
    <row r="45" spans="1:12" x14ac:dyDescent="0.35">
      <c r="A45" s="84" t="s">
        <v>263</v>
      </c>
      <c r="B45" s="84" t="s">
        <v>264</v>
      </c>
      <c r="C45" s="240">
        <v>-1162762.56</v>
      </c>
      <c r="D45" s="84" t="s">
        <v>263</v>
      </c>
      <c r="E45" s="84" t="s">
        <v>264</v>
      </c>
      <c r="F45" s="240">
        <v>-1162762.56</v>
      </c>
      <c r="G45" s="84" t="s">
        <v>263</v>
      </c>
      <c r="H45" s="84" t="s">
        <v>264</v>
      </c>
      <c r="I45" s="235">
        <v>-1323388.98</v>
      </c>
      <c r="J45" t="str">
        <f t="shared" si="1"/>
        <v>102</v>
      </c>
      <c r="K45" s="83" t="s">
        <v>210</v>
      </c>
      <c r="L45" s="26">
        <f t="shared" si="0"/>
        <v>0</v>
      </c>
    </row>
    <row r="46" spans="1:12" x14ac:dyDescent="0.35">
      <c r="A46" s="80" t="s">
        <v>265</v>
      </c>
      <c r="B46" s="80" t="s">
        <v>266</v>
      </c>
      <c r="C46" s="241">
        <v>-41842869.380000003</v>
      </c>
      <c r="D46" s="80" t="s">
        <v>265</v>
      </c>
      <c r="E46" s="80" t="s">
        <v>266</v>
      </c>
      <c r="F46" s="241">
        <v>-41842869.380000003</v>
      </c>
      <c r="G46" s="80" t="s">
        <v>265</v>
      </c>
      <c r="H46" s="80" t="s">
        <v>266</v>
      </c>
      <c r="I46" s="236">
        <v>-41758784.219999999</v>
      </c>
      <c r="J46" t="str">
        <f t="shared" si="1"/>
        <v>102</v>
      </c>
      <c r="K46" s="83" t="s">
        <v>210</v>
      </c>
      <c r="L46" s="26">
        <f t="shared" si="0"/>
        <v>0</v>
      </c>
    </row>
    <row r="47" spans="1:12" x14ac:dyDescent="0.35">
      <c r="A47" s="84" t="s">
        <v>267</v>
      </c>
      <c r="B47" s="84" t="s">
        <v>268</v>
      </c>
      <c r="C47" s="240">
        <v>31021079.289999999</v>
      </c>
      <c r="D47" s="84" t="s">
        <v>267</v>
      </c>
      <c r="E47" s="84" t="s">
        <v>268</v>
      </c>
      <c r="F47" s="240">
        <v>31021079.289999999</v>
      </c>
      <c r="G47" s="84" t="s">
        <v>267</v>
      </c>
      <c r="H47" s="84" t="s">
        <v>268</v>
      </c>
      <c r="I47" s="235">
        <v>22573068.75</v>
      </c>
      <c r="J47" t="str">
        <f t="shared" si="1"/>
        <v>103</v>
      </c>
      <c r="K47" s="83" t="s">
        <v>210</v>
      </c>
      <c r="L47" s="26">
        <f t="shared" si="0"/>
        <v>0</v>
      </c>
    </row>
    <row r="48" spans="1:12" x14ac:dyDescent="0.35">
      <c r="A48" s="80" t="s">
        <v>269</v>
      </c>
      <c r="B48" s="80" t="s">
        <v>270</v>
      </c>
      <c r="C48" s="241">
        <v>-500735.28</v>
      </c>
      <c r="D48" s="80" t="s">
        <v>269</v>
      </c>
      <c r="E48" s="80" t="s">
        <v>270</v>
      </c>
      <c r="F48" s="241">
        <v>-500735.28</v>
      </c>
      <c r="G48" s="80" t="s">
        <v>269</v>
      </c>
      <c r="H48" s="80" t="s">
        <v>270</v>
      </c>
      <c r="I48" s="236">
        <v>-283923.23</v>
      </c>
      <c r="J48" t="str">
        <f t="shared" si="1"/>
        <v>103</v>
      </c>
      <c r="K48" s="83" t="s">
        <v>210</v>
      </c>
      <c r="L48" s="26">
        <f t="shared" si="0"/>
        <v>0</v>
      </c>
    </row>
    <row r="49" spans="1:14" x14ac:dyDescent="0.35">
      <c r="A49" s="84" t="s">
        <v>271</v>
      </c>
      <c r="B49" s="84" t="s">
        <v>272</v>
      </c>
      <c r="C49" s="240">
        <v>5000</v>
      </c>
      <c r="D49" s="84" t="s">
        <v>271</v>
      </c>
      <c r="E49" s="84" t="s">
        <v>272</v>
      </c>
      <c r="F49" s="240">
        <v>5000</v>
      </c>
      <c r="G49" s="84" t="s">
        <v>271</v>
      </c>
      <c r="H49" s="84" t="s">
        <v>272</v>
      </c>
      <c r="I49" s="235">
        <v>745762.5</v>
      </c>
      <c r="J49" t="str">
        <f t="shared" si="1"/>
        <v>103</v>
      </c>
      <c r="K49" s="83" t="s">
        <v>210</v>
      </c>
      <c r="L49" s="26">
        <f t="shared" si="0"/>
        <v>0</v>
      </c>
    </row>
    <row r="50" spans="1:14" x14ac:dyDescent="0.35">
      <c r="A50" s="82" t="s">
        <v>273</v>
      </c>
      <c r="B50" s="82" t="s">
        <v>274</v>
      </c>
      <c r="C50" s="81">
        <v>0</v>
      </c>
      <c r="D50" s="82" t="s">
        <v>273</v>
      </c>
      <c r="E50" s="82" t="s">
        <v>274</v>
      </c>
      <c r="F50" s="81">
        <v>0</v>
      </c>
      <c r="G50" s="82" t="s">
        <v>273</v>
      </c>
      <c r="H50" s="82" t="s">
        <v>274</v>
      </c>
      <c r="I50" s="81">
        <v>0</v>
      </c>
      <c r="J50" t="str">
        <f t="shared" si="1"/>
        <v>103</v>
      </c>
      <c r="K50" s="83" t="s">
        <v>210</v>
      </c>
      <c r="L50" s="26">
        <f t="shared" si="0"/>
        <v>0</v>
      </c>
    </row>
    <row r="51" spans="1:14" x14ac:dyDescent="0.35">
      <c r="A51" s="84" t="s">
        <v>275</v>
      </c>
      <c r="B51" s="84" t="s">
        <v>276</v>
      </c>
      <c r="C51" s="240">
        <v>16304714.58</v>
      </c>
      <c r="D51" s="84" t="s">
        <v>275</v>
      </c>
      <c r="E51" s="84" t="s">
        <v>276</v>
      </c>
      <c r="F51" s="240">
        <v>16304714.58</v>
      </c>
      <c r="G51" s="84" t="s">
        <v>275</v>
      </c>
      <c r="H51" s="84" t="s">
        <v>276</v>
      </c>
      <c r="I51" s="235">
        <v>17036387.920000002</v>
      </c>
      <c r="J51" t="str">
        <f t="shared" si="1"/>
        <v>103</v>
      </c>
      <c r="K51" s="83" t="s">
        <v>210</v>
      </c>
      <c r="L51" s="26">
        <f t="shared" si="0"/>
        <v>0</v>
      </c>
    </row>
    <row r="52" spans="1:14" x14ac:dyDescent="0.35">
      <c r="A52" s="80" t="s">
        <v>277</v>
      </c>
      <c r="B52" s="80" t="s">
        <v>278</v>
      </c>
      <c r="C52" s="241">
        <v>-19923.240000000002</v>
      </c>
      <c r="D52" s="80" t="s">
        <v>277</v>
      </c>
      <c r="E52" s="80" t="s">
        <v>278</v>
      </c>
      <c r="F52" s="241">
        <v>-19923.240000000002</v>
      </c>
      <c r="G52" s="80" t="s">
        <v>277</v>
      </c>
      <c r="H52" s="80" t="s">
        <v>278</v>
      </c>
      <c r="I52" s="236">
        <v>-24466.2</v>
      </c>
      <c r="J52" t="str">
        <f t="shared" si="1"/>
        <v>103</v>
      </c>
      <c r="K52" s="83" t="s">
        <v>210</v>
      </c>
      <c r="L52" s="26">
        <f t="shared" si="0"/>
        <v>0</v>
      </c>
    </row>
    <row r="53" spans="1:14" x14ac:dyDescent="0.35">
      <c r="A53" s="84" t="s">
        <v>279</v>
      </c>
      <c r="B53" s="84" t="s">
        <v>280</v>
      </c>
      <c r="C53" s="240">
        <v>8203.85</v>
      </c>
      <c r="D53" s="84" t="s">
        <v>279</v>
      </c>
      <c r="E53" s="84" t="s">
        <v>280</v>
      </c>
      <c r="F53" s="240">
        <v>8203.85</v>
      </c>
      <c r="G53" s="84" t="s">
        <v>279</v>
      </c>
      <c r="H53" s="84" t="s">
        <v>280</v>
      </c>
      <c r="I53" s="235">
        <v>391383.85</v>
      </c>
      <c r="J53" t="str">
        <f t="shared" si="1"/>
        <v>103</v>
      </c>
      <c r="K53" s="83" t="s">
        <v>210</v>
      </c>
      <c r="L53" s="26">
        <f t="shared" si="0"/>
        <v>0</v>
      </c>
    </row>
    <row r="54" spans="1:14" x14ac:dyDescent="0.35">
      <c r="A54" s="82" t="s">
        <v>281</v>
      </c>
      <c r="B54" s="82" t="s">
        <v>282</v>
      </c>
      <c r="C54" s="85">
        <v>0</v>
      </c>
      <c r="D54" s="82" t="s">
        <v>281</v>
      </c>
      <c r="E54" s="82" t="s">
        <v>282</v>
      </c>
      <c r="F54" s="85">
        <v>0</v>
      </c>
      <c r="G54" s="82" t="s">
        <v>281</v>
      </c>
      <c r="H54" s="82" t="s">
        <v>282</v>
      </c>
      <c r="I54" s="85">
        <v>0</v>
      </c>
      <c r="J54" t="str">
        <f t="shared" si="1"/>
        <v>103</v>
      </c>
      <c r="K54" s="83" t="s">
        <v>203</v>
      </c>
      <c r="L54" s="26">
        <f t="shared" si="0"/>
        <v>0</v>
      </c>
    </row>
    <row r="55" spans="1:14" x14ac:dyDescent="0.35">
      <c r="A55" s="84" t="s">
        <v>283</v>
      </c>
      <c r="B55" s="84" t="s">
        <v>284</v>
      </c>
      <c r="C55" s="240">
        <v>6724437.7999999998</v>
      </c>
      <c r="D55" s="84" t="s">
        <v>283</v>
      </c>
      <c r="E55" s="84" t="s">
        <v>284</v>
      </c>
      <c r="F55" s="240">
        <v>6724437.7999999998</v>
      </c>
      <c r="G55" s="84" t="s">
        <v>283</v>
      </c>
      <c r="H55" s="84" t="s">
        <v>284</v>
      </c>
      <c r="I55" s="235">
        <v>7117019.9000000004</v>
      </c>
      <c r="J55" t="str">
        <f t="shared" si="1"/>
        <v>103</v>
      </c>
      <c r="K55" s="83" t="s">
        <v>203</v>
      </c>
      <c r="L55" s="26">
        <f t="shared" si="0"/>
        <v>0</v>
      </c>
      <c r="M55" s="26">
        <f>L55+L56+L57+L58+L59+L102+L104+L106+L107+L108</f>
        <v>0</v>
      </c>
      <c r="N55" s="26">
        <f>9703774.31-M55</f>
        <v>9703774.3100000005</v>
      </c>
    </row>
    <row r="56" spans="1:14" x14ac:dyDescent="0.35">
      <c r="A56" s="80" t="s">
        <v>285</v>
      </c>
      <c r="B56" s="80" t="s">
        <v>286</v>
      </c>
      <c r="C56" s="241">
        <v>233584.75</v>
      </c>
      <c r="D56" s="80" t="s">
        <v>285</v>
      </c>
      <c r="E56" s="80" t="s">
        <v>286</v>
      </c>
      <c r="F56" s="241">
        <v>233584.75</v>
      </c>
      <c r="G56" s="80" t="s">
        <v>285</v>
      </c>
      <c r="H56" s="80" t="s">
        <v>286</v>
      </c>
      <c r="I56" s="236">
        <v>333044.3</v>
      </c>
      <c r="J56" t="str">
        <f t="shared" si="1"/>
        <v>103</v>
      </c>
      <c r="K56" s="83" t="s">
        <v>203</v>
      </c>
      <c r="L56" s="26">
        <f t="shared" si="0"/>
        <v>0</v>
      </c>
    </row>
    <row r="57" spans="1:14" x14ac:dyDescent="0.35">
      <c r="A57" s="84" t="s">
        <v>287</v>
      </c>
      <c r="B57" s="84" t="s">
        <v>288</v>
      </c>
      <c r="C57" s="240">
        <v>-224518.94</v>
      </c>
      <c r="D57" s="84" t="s">
        <v>287</v>
      </c>
      <c r="E57" s="84" t="s">
        <v>288</v>
      </c>
      <c r="F57" s="240">
        <v>-224518.94</v>
      </c>
      <c r="G57" s="84" t="s">
        <v>287</v>
      </c>
      <c r="H57" s="84" t="s">
        <v>288</v>
      </c>
      <c r="I57" s="235">
        <v>-323490.09000000003</v>
      </c>
      <c r="J57" t="str">
        <f t="shared" si="1"/>
        <v>103</v>
      </c>
      <c r="K57" s="83" t="s">
        <v>203</v>
      </c>
      <c r="L57" s="26">
        <f t="shared" si="0"/>
        <v>0</v>
      </c>
    </row>
    <row r="58" spans="1:14" x14ac:dyDescent="0.35">
      <c r="A58" s="80" t="s">
        <v>289</v>
      </c>
      <c r="B58" s="86" t="s">
        <v>290</v>
      </c>
      <c r="C58" s="241">
        <v>2073420.59</v>
      </c>
      <c r="D58" s="80" t="s">
        <v>289</v>
      </c>
      <c r="E58" s="86" t="s">
        <v>290</v>
      </c>
      <c r="F58" s="241">
        <v>2073420.59</v>
      </c>
      <c r="G58" s="80" t="s">
        <v>289</v>
      </c>
      <c r="H58" s="86" t="s">
        <v>290</v>
      </c>
      <c r="I58" s="236">
        <v>2200455.09</v>
      </c>
      <c r="J58" t="str">
        <f t="shared" si="1"/>
        <v>103</v>
      </c>
      <c r="K58" s="83" t="s">
        <v>203</v>
      </c>
      <c r="L58" s="26">
        <f t="shared" si="0"/>
        <v>0</v>
      </c>
    </row>
    <row r="59" spans="1:14" x14ac:dyDescent="0.35">
      <c r="A59" s="84" t="s">
        <v>291</v>
      </c>
      <c r="B59" s="84" t="s">
        <v>292</v>
      </c>
      <c r="C59" s="240">
        <v>-77056.52</v>
      </c>
      <c r="D59" s="84" t="s">
        <v>291</v>
      </c>
      <c r="E59" s="84" t="s">
        <v>292</v>
      </c>
      <c r="F59" s="240">
        <v>-77056.52</v>
      </c>
      <c r="G59" s="84" t="s">
        <v>291</v>
      </c>
      <c r="H59" s="84" t="s">
        <v>292</v>
      </c>
      <c r="I59" s="235">
        <v>-81361.100000000006</v>
      </c>
      <c r="J59" t="str">
        <f t="shared" si="1"/>
        <v>103</v>
      </c>
      <c r="K59" s="83" t="s">
        <v>203</v>
      </c>
      <c r="L59" s="26">
        <f t="shared" si="0"/>
        <v>0</v>
      </c>
    </row>
    <row r="60" spans="1:14" x14ac:dyDescent="0.35">
      <c r="A60" s="84" t="s">
        <v>779</v>
      </c>
      <c r="B60" s="156" t="s">
        <v>780</v>
      </c>
      <c r="C60" s="235">
        <v>0</v>
      </c>
      <c r="D60" s="84" t="s">
        <v>779</v>
      </c>
      <c r="E60" s="156" t="s">
        <v>780</v>
      </c>
      <c r="F60" s="235">
        <v>0</v>
      </c>
      <c r="G60" s="84" t="s">
        <v>779</v>
      </c>
      <c r="H60" s="156" t="s">
        <v>780</v>
      </c>
      <c r="I60" s="235">
        <v>5590000</v>
      </c>
      <c r="J60" t="str">
        <f t="shared" si="1"/>
        <v>103</v>
      </c>
      <c r="K60" s="83" t="s">
        <v>203</v>
      </c>
      <c r="L60" s="26">
        <f t="shared" si="0"/>
        <v>0</v>
      </c>
    </row>
    <row r="61" spans="1:14" x14ac:dyDescent="0.35">
      <c r="A61" s="84" t="s">
        <v>293</v>
      </c>
      <c r="B61" s="84" t="s">
        <v>294</v>
      </c>
      <c r="C61" s="241">
        <v>356531128.08999997</v>
      </c>
      <c r="D61" s="84" t="s">
        <v>293</v>
      </c>
      <c r="E61" s="84" t="s">
        <v>294</v>
      </c>
      <c r="F61" s="241">
        <v>356531128.08999997</v>
      </c>
      <c r="G61" s="84" t="s">
        <v>293</v>
      </c>
      <c r="H61" s="84" t="s">
        <v>294</v>
      </c>
      <c r="I61" s="236">
        <v>352446869.47000003</v>
      </c>
      <c r="J61" t="str">
        <f t="shared" si="1"/>
        <v>103</v>
      </c>
      <c r="K61" s="83" t="s">
        <v>210</v>
      </c>
      <c r="L61" s="26">
        <f t="shared" si="0"/>
        <v>0</v>
      </c>
    </row>
    <row r="62" spans="1:14" x14ac:dyDescent="0.35">
      <c r="A62" s="80" t="s">
        <v>295</v>
      </c>
      <c r="B62" s="80" t="s">
        <v>296</v>
      </c>
      <c r="C62" s="235">
        <v>0</v>
      </c>
      <c r="D62" s="80" t="s">
        <v>295</v>
      </c>
      <c r="E62" s="80" t="s">
        <v>296</v>
      </c>
      <c r="F62" s="235">
        <v>0</v>
      </c>
      <c r="G62" s="80" t="s">
        <v>295</v>
      </c>
      <c r="H62" s="80" t="s">
        <v>296</v>
      </c>
      <c r="I62" s="235">
        <v>0</v>
      </c>
      <c r="J62" t="str">
        <f t="shared" si="1"/>
        <v>103</v>
      </c>
      <c r="K62" s="83" t="s">
        <v>210</v>
      </c>
      <c r="L62" s="26">
        <f t="shared" si="0"/>
        <v>0</v>
      </c>
    </row>
    <row r="63" spans="1:14" x14ac:dyDescent="0.35">
      <c r="A63" s="84" t="s">
        <v>297</v>
      </c>
      <c r="B63" s="84" t="s">
        <v>298</v>
      </c>
      <c r="C63" s="240">
        <v>415165577.62</v>
      </c>
      <c r="D63" s="84" t="s">
        <v>297</v>
      </c>
      <c r="E63" s="84" t="s">
        <v>298</v>
      </c>
      <c r="F63" s="240">
        <v>415165577.62</v>
      </c>
      <c r="G63" s="84" t="s">
        <v>297</v>
      </c>
      <c r="H63" s="84" t="s">
        <v>298</v>
      </c>
      <c r="I63" s="235">
        <v>527353634.56</v>
      </c>
      <c r="J63" t="str">
        <f t="shared" si="1"/>
        <v>103</v>
      </c>
      <c r="K63" s="83" t="s">
        <v>210</v>
      </c>
      <c r="L63" s="26">
        <f t="shared" si="0"/>
        <v>0</v>
      </c>
    </row>
    <row r="64" spans="1:14" x14ac:dyDescent="0.35">
      <c r="A64" s="80" t="s">
        <v>299</v>
      </c>
      <c r="B64" s="80" t="s">
        <v>300</v>
      </c>
      <c r="C64" s="85">
        <v>0</v>
      </c>
      <c r="D64" s="80" t="s">
        <v>299</v>
      </c>
      <c r="E64" s="80" t="s">
        <v>300</v>
      </c>
      <c r="F64" s="85">
        <v>0</v>
      </c>
      <c r="G64" s="80" t="s">
        <v>299</v>
      </c>
      <c r="H64" s="80" t="s">
        <v>300</v>
      </c>
      <c r="I64" s="85">
        <v>0</v>
      </c>
      <c r="J64" t="str">
        <f t="shared" si="1"/>
        <v>103</v>
      </c>
      <c r="K64" s="83" t="s">
        <v>210</v>
      </c>
      <c r="L64" s="26">
        <f t="shared" si="0"/>
        <v>0</v>
      </c>
    </row>
    <row r="65" spans="1:12" x14ac:dyDescent="0.35">
      <c r="A65" s="84" t="s">
        <v>301</v>
      </c>
      <c r="B65" s="84" t="s">
        <v>302</v>
      </c>
      <c r="C65" s="241">
        <v>38.74</v>
      </c>
      <c r="D65" s="84" t="s">
        <v>301</v>
      </c>
      <c r="E65" s="84" t="s">
        <v>302</v>
      </c>
      <c r="F65" s="241">
        <v>38.74</v>
      </c>
      <c r="G65" s="84" t="s">
        <v>301</v>
      </c>
      <c r="H65" s="84" t="s">
        <v>302</v>
      </c>
      <c r="I65" s="85">
        <v>0</v>
      </c>
      <c r="J65" t="str">
        <f t="shared" si="1"/>
        <v>103</v>
      </c>
      <c r="K65" s="83" t="s">
        <v>210</v>
      </c>
      <c r="L65" s="26">
        <f t="shared" si="0"/>
        <v>0</v>
      </c>
    </row>
    <row r="66" spans="1:12" x14ac:dyDescent="0.35">
      <c r="A66" s="84" t="s">
        <v>303</v>
      </c>
      <c r="B66" s="84" t="s">
        <v>304</v>
      </c>
      <c r="C66" s="241">
        <v>1050.52</v>
      </c>
      <c r="D66" s="84" t="s">
        <v>303</v>
      </c>
      <c r="E66" s="84" t="s">
        <v>304</v>
      </c>
      <c r="F66" s="241">
        <v>1050.52</v>
      </c>
      <c r="G66" s="84" t="s">
        <v>303</v>
      </c>
      <c r="H66" s="84" t="s">
        <v>304</v>
      </c>
      <c r="I66" s="235">
        <v>2530.8000000000002</v>
      </c>
      <c r="J66" t="str">
        <f t="shared" si="1"/>
        <v>103</v>
      </c>
      <c r="K66" s="83" t="s">
        <v>305</v>
      </c>
      <c r="L66" s="26">
        <f t="shared" si="0"/>
        <v>0</v>
      </c>
    </row>
    <row r="67" spans="1:12" x14ac:dyDescent="0.35">
      <c r="A67" s="80" t="s">
        <v>306</v>
      </c>
      <c r="B67" s="80" t="s">
        <v>307</v>
      </c>
      <c r="C67" s="240">
        <v>747779.64</v>
      </c>
      <c r="D67" s="80" t="s">
        <v>306</v>
      </c>
      <c r="E67" s="80" t="s">
        <v>307</v>
      </c>
      <c r="F67" s="240">
        <v>747779.64</v>
      </c>
      <c r="G67" s="80" t="s">
        <v>306</v>
      </c>
      <c r="H67" s="80" t="s">
        <v>307</v>
      </c>
      <c r="I67" s="236">
        <v>744467.91</v>
      </c>
      <c r="J67" t="str">
        <f t="shared" si="1"/>
        <v>103</v>
      </c>
      <c r="K67" s="83" t="s">
        <v>305</v>
      </c>
      <c r="L67" s="26">
        <f t="shared" si="0"/>
        <v>0</v>
      </c>
    </row>
    <row r="68" spans="1:12" x14ac:dyDescent="0.35">
      <c r="A68" s="84" t="s">
        <v>308</v>
      </c>
      <c r="B68" s="84" t="s">
        <v>309</v>
      </c>
      <c r="C68" s="241">
        <v>805177.91</v>
      </c>
      <c r="D68" s="84" t="s">
        <v>308</v>
      </c>
      <c r="E68" s="84" t="s">
        <v>309</v>
      </c>
      <c r="F68" s="241">
        <v>805177.91</v>
      </c>
      <c r="G68" s="84" t="s">
        <v>308</v>
      </c>
      <c r="H68" s="84" t="s">
        <v>309</v>
      </c>
      <c r="I68" s="235">
        <v>860140.74</v>
      </c>
      <c r="J68" t="str">
        <f t="shared" si="1"/>
        <v>103</v>
      </c>
      <c r="K68" s="83" t="s">
        <v>305</v>
      </c>
      <c r="L68" s="26">
        <f t="shared" si="0"/>
        <v>0</v>
      </c>
    </row>
    <row r="69" spans="1:12" x14ac:dyDescent="0.35">
      <c r="A69" s="80" t="s">
        <v>310</v>
      </c>
      <c r="B69" s="80" t="s">
        <v>311</v>
      </c>
      <c r="C69" s="240">
        <v>20134346</v>
      </c>
      <c r="D69" s="80" t="s">
        <v>310</v>
      </c>
      <c r="E69" s="80" t="s">
        <v>311</v>
      </c>
      <c r="F69" s="240">
        <v>20134346</v>
      </c>
      <c r="G69" s="80" t="s">
        <v>310</v>
      </c>
      <c r="H69" s="80" t="s">
        <v>311</v>
      </c>
      <c r="I69" s="236">
        <v>18215338.440000001</v>
      </c>
      <c r="J69" t="str">
        <f t="shared" si="1"/>
        <v>103</v>
      </c>
      <c r="K69" s="83" t="s">
        <v>305</v>
      </c>
      <c r="L69" s="26">
        <f t="shared" si="0"/>
        <v>0</v>
      </c>
    </row>
    <row r="70" spans="1:12" x14ac:dyDescent="0.35">
      <c r="A70" s="84" t="s">
        <v>312</v>
      </c>
      <c r="B70" s="84" t="s">
        <v>313</v>
      </c>
      <c r="C70" s="241">
        <v>0</v>
      </c>
      <c r="D70" s="84" t="s">
        <v>312</v>
      </c>
      <c r="E70" s="84" t="s">
        <v>313</v>
      </c>
      <c r="F70" s="241">
        <v>0</v>
      </c>
      <c r="G70" s="84" t="s">
        <v>312</v>
      </c>
      <c r="H70" s="84" t="s">
        <v>313</v>
      </c>
      <c r="I70" s="235">
        <v>0</v>
      </c>
      <c r="J70" t="str">
        <f t="shared" si="1"/>
        <v>103</v>
      </c>
      <c r="K70" s="83" t="s">
        <v>305</v>
      </c>
      <c r="L70" s="26">
        <f t="shared" si="0"/>
        <v>0</v>
      </c>
    </row>
    <row r="71" spans="1:12" x14ac:dyDescent="0.35">
      <c r="A71" s="80" t="s">
        <v>314</v>
      </c>
      <c r="B71" s="80" t="s">
        <v>315</v>
      </c>
      <c r="C71" s="241">
        <v>2528871.5699999998</v>
      </c>
      <c r="D71" s="80" t="s">
        <v>314</v>
      </c>
      <c r="E71" s="80" t="s">
        <v>315</v>
      </c>
      <c r="F71" s="241">
        <v>2528871.5699999998</v>
      </c>
      <c r="G71" s="80" t="s">
        <v>314</v>
      </c>
      <c r="H71" s="80" t="s">
        <v>315</v>
      </c>
      <c r="I71" s="235">
        <v>1494564.65</v>
      </c>
      <c r="J71" t="str">
        <f t="shared" si="1"/>
        <v>103</v>
      </c>
      <c r="K71" s="83" t="s">
        <v>305</v>
      </c>
      <c r="L71" s="26">
        <f t="shared" si="0"/>
        <v>0</v>
      </c>
    </row>
    <row r="72" spans="1:12" x14ac:dyDescent="0.35">
      <c r="A72" s="84" t="s">
        <v>316</v>
      </c>
      <c r="B72" s="84" t="s">
        <v>317</v>
      </c>
      <c r="C72" s="240">
        <v>5058362.7699999996</v>
      </c>
      <c r="D72" s="84" t="s">
        <v>316</v>
      </c>
      <c r="E72" s="84" t="s">
        <v>317</v>
      </c>
      <c r="F72" s="240">
        <v>5058362.7699999996</v>
      </c>
      <c r="G72" s="84" t="s">
        <v>316</v>
      </c>
      <c r="H72" s="84" t="s">
        <v>317</v>
      </c>
      <c r="I72" s="236">
        <v>8787011.3499999996</v>
      </c>
      <c r="J72" t="str">
        <f t="shared" si="1"/>
        <v>103</v>
      </c>
      <c r="K72" s="83" t="s">
        <v>210</v>
      </c>
      <c r="L72" s="26">
        <f t="shared" si="0"/>
        <v>0</v>
      </c>
    </row>
    <row r="73" spans="1:12" x14ac:dyDescent="0.35">
      <c r="A73" s="80" t="s">
        <v>318</v>
      </c>
      <c r="B73" s="80" t="s">
        <v>319</v>
      </c>
      <c r="C73" s="241">
        <v>-16495093.880000001</v>
      </c>
      <c r="D73" s="80" t="s">
        <v>318</v>
      </c>
      <c r="E73" s="80" t="s">
        <v>319</v>
      </c>
      <c r="F73" s="241">
        <v>-16495093.880000001</v>
      </c>
      <c r="G73" s="80" t="s">
        <v>318</v>
      </c>
      <c r="H73" s="80" t="s">
        <v>319</v>
      </c>
      <c r="I73" s="235">
        <v>-13299802.859999999</v>
      </c>
      <c r="J73" t="str">
        <f t="shared" si="1"/>
        <v>103</v>
      </c>
      <c r="K73" s="83" t="s">
        <v>305</v>
      </c>
      <c r="L73" s="26">
        <f t="shared" si="0"/>
        <v>0</v>
      </c>
    </row>
    <row r="74" spans="1:12" x14ac:dyDescent="0.35">
      <c r="A74" s="80" t="s">
        <v>320</v>
      </c>
      <c r="B74" s="80" t="s">
        <v>321</v>
      </c>
      <c r="C74" s="241">
        <v>84134.57</v>
      </c>
      <c r="D74" s="80" t="s">
        <v>320</v>
      </c>
      <c r="E74" s="80" t="s">
        <v>321</v>
      </c>
      <c r="F74" s="241">
        <v>84134.57</v>
      </c>
      <c r="G74" s="80" t="s">
        <v>320</v>
      </c>
      <c r="H74" s="80" t="s">
        <v>321</v>
      </c>
      <c r="I74" s="235">
        <v>138365.4</v>
      </c>
      <c r="J74" t="str">
        <f t="shared" ref="J74:J136" si="2">LEFT(A74,3)</f>
        <v>103</v>
      </c>
      <c r="K74" s="83" t="s">
        <v>305</v>
      </c>
      <c r="L74" s="26">
        <f t="shared" ref="L74:L135" si="3">F74-C74</f>
        <v>0</v>
      </c>
    </row>
    <row r="75" spans="1:12" x14ac:dyDescent="0.35">
      <c r="A75" s="80" t="s">
        <v>322</v>
      </c>
      <c r="B75" s="80" t="s">
        <v>903</v>
      </c>
      <c r="C75" s="240">
        <v>247740.77</v>
      </c>
      <c r="D75" s="80" t="s">
        <v>322</v>
      </c>
      <c r="E75" s="80" t="s">
        <v>903</v>
      </c>
      <c r="F75" s="240">
        <v>247740.77</v>
      </c>
      <c r="G75" s="80" t="s">
        <v>322</v>
      </c>
      <c r="H75" s="80" t="s">
        <v>323</v>
      </c>
      <c r="I75" s="236">
        <v>304170.06</v>
      </c>
      <c r="J75" t="str">
        <f t="shared" si="2"/>
        <v>103</v>
      </c>
      <c r="K75" s="83" t="s">
        <v>305</v>
      </c>
      <c r="L75" s="26">
        <f t="shared" si="3"/>
        <v>0</v>
      </c>
    </row>
    <row r="76" spans="1:12" x14ac:dyDescent="0.35">
      <c r="A76" s="80" t="s">
        <v>324</v>
      </c>
      <c r="B76" s="80" t="s">
        <v>325</v>
      </c>
      <c r="C76" s="240">
        <v>162074508.80000001</v>
      </c>
      <c r="D76" s="80" t="s">
        <v>324</v>
      </c>
      <c r="E76" s="80" t="s">
        <v>325</v>
      </c>
      <c r="F76" s="240">
        <v>162074508.80000001</v>
      </c>
      <c r="G76" s="80" t="s">
        <v>324</v>
      </c>
      <c r="H76" s="80" t="s">
        <v>325</v>
      </c>
      <c r="I76" s="236">
        <v>101945268.81</v>
      </c>
      <c r="J76" t="str">
        <f t="shared" si="2"/>
        <v>103</v>
      </c>
      <c r="K76" s="83" t="s">
        <v>305</v>
      </c>
      <c r="L76" s="26">
        <f t="shared" si="3"/>
        <v>0</v>
      </c>
    </row>
    <row r="77" spans="1:12" x14ac:dyDescent="0.35">
      <c r="A77" s="84" t="s">
        <v>326</v>
      </c>
      <c r="B77" s="84" t="s">
        <v>327</v>
      </c>
      <c r="C77" s="241">
        <v>0</v>
      </c>
      <c r="D77" s="84" t="s">
        <v>326</v>
      </c>
      <c r="E77" s="84" t="s">
        <v>327</v>
      </c>
      <c r="F77" s="241">
        <v>0</v>
      </c>
      <c r="G77" s="84" t="s">
        <v>326</v>
      </c>
      <c r="H77" s="84" t="s">
        <v>327</v>
      </c>
      <c r="I77" s="235">
        <v>0</v>
      </c>
      <c r="J77" t="str">
        <f t="shared" si="2"/>
        <v>103</v>
      </c>
      <c r="K77" s="83" t="s">
        <v>305</v>
      </c>
      <c r="L77" s="26">
        <f t="shared" si="3"/>
        <v>0</v>
      </c>
    </row>
    <row r="78" spans="1:12" x14ac:dyDescent="0.35">
      <c r="A78" s="80" t="s">
        <v>328</v>
      </c>
      <c r="B78" s="80" t="s">
        <v>329</v>
      </c>
      <c r="C78" s="241">
        <v>145840102.87</v>
      </c>
      <c r="D78" s="80" t="s">
        <v>328</v>
      </c>
      <c r="E78" s="80" t="s">
        <v>329</v>
      </c>
      <c r="F78" s="241">
        <v>145840102.87</v>
      </c>
      <c r="G78" s="80" t="s">
        <v>328</v>
      </c>
      <c r="H78" s="80" t="s">
        <v>329</v>
      </c>
      <c r="I78" s="235">
        <v>67838765.909999996</v>
      </c>
      <c r="J78" t="str">
        <f t="shared" si="2"/>
        <v>103</v>
      </c>
      <c r="K78" s="83" t="s">
        <v>305</v>
      </c>
      <c r="L78" s="26">
        <f t="shared" si="3"/>
        <v>0</v>
      </c>
    </row>
    <row r="79" spans="1:12" x14ac:dyDescent="0.35">
      <c r="A79" s="84" t="s">
        <v>330</v>
      </c>
      <c r="B79" s="84" t="s">
        <v>331</v>
      </c>
      <c r="C79" s="240">
        <v>0</v>
      </c>
      <c r="D79" s="84" t="s">
        <v>330</v>
      </c>
      <c r="E79" s="84" t="s">
        <v>331</v>
      </c>
      <c r="F79" s="240">
        <v>0</v>
      </c>
      <c r="G79" s="84" t="s">
        <v>330</v>
      </c>
      <c r="H79" s="84" t="s">
        <v>331</v>
      </c>
      <c r="I79" s="236">
        <v>0</v>
      </c>
      <c r="J79" t="str">
        <f t="shared" si="2"/>
        <v>103</v>
      </c>
      <c r="K79" s="83" t="s">
        <v>305</v>
      </c>
      <c r="L79" s="26">
        <f t="shared" si="3"/>
        <v>0</v>
      </c>
    </row>
    <row r="80" spans="1:12" x14ac:dyDescent="0.35">
      <c r="A80" s="80" t="s">
        <v>332</v>
      </c>
      <c r="B80" s="80" t="s">
        <v>333</v>
      </c>
      <c r="C80" s="240">
        <v>2417243.29</v>
      </c>
      <c r="D80" s="80" t="s">
        <v>332</v>
      </c>
      <c r="E80" s="80" t="s">
        <v>333</v>
      </c>
      <c r="F80" s="240">
        <v>2417243.29</v>
      </c>
      <c r="G80" s="80" t="s">
        <v>332</v>
      </c>
      <c r="H80" s="80" t="s">
        <v>333</v>
      </c>
      <c r="I80" s="236">
        <v>6973492.4199999999</v>
      </c>
      <c r="J80" t="str">
        <f t="shared" si="2"/>
        <v>103</v>
      </c>
      <c r="K80" s="83" t="s">
        <v>305</v>
      </c>
      <c r="L80" s="26">
        <f t="shared" si="3"/>
        <v>0</v>
      </c>
    </row>
    <row r="81" spans="1:14" x14ac:dyDescent="0.35">
      <c r="A81" s="80" t="s">
        <v>334</v>
      </c>
      <c r="B81" s="80" t="s">
        <v>335</v>
      </c>
      <c r="C81" s="240">
        <v>1073440.6399999999</v>
      </c>
      <c r="D81" s="80" t="s">
        <v>334</v>
      </c>
      <c r="E81" s="80" t="s">
        <v>335</v>
      </c>
      <c r="F81" s="240">
        <v>1073440.6399999999</v>
      </c>
      <c r="G81" s="80" t="s">
        <v>334</v>
      </c>
      <c r="H81" s="80" t="s">
        <v>335</v>
      </c>
      <c r="I81" s="236">
        <v>1035928.48</v>
      </c>
      <c r="J81" t="str">
        <f t="shared" si="2"/>
        <v>103</v>
      </c>
      <c r="K81" s="83" t="s">
        <v>305</v>
      </c>
      <c r="L81" s="26">
        <f t="shared" si="3"/>
        <v>0</v>
      </c>
    </row>
    <row r="82" spans="1:14" x14ac:dyDescent="0.35">
      <c r="A82" s="84" t="s">
        <v>336</v>
      </c>
      <c r="B82" s="84" t="s">
        <v>337</v>
      </c>
      <c r="C82" s="241">
        <v>44563.39</v>
      </c>
      <c r="D82" s="84" t="s">
        <v>336</v>
      </c>
      <c r="E82" s="84" t="s">
        <v>337</v>
      </c>
      <c r="F82" s="241">
        <v>44563.39</v>
      </c>
      <c r="G82" s="84" t="s">
        <v>336</v>
      </c>
      <c r="H82" s="84" t="s">
        <v>337</v>
      </c>
      <c r="I82" s="235">
        <v>41820.65</v>
      </c>
      <c r="J82" t="str">
        <f t="shared" si="2"/>
        <v>103</v>
      </c>
      <c r="K82" s="83" t="s">
        <v>305</v>
      </c>
      <c r="L82" s="26">
        <f t="shared" si="3"/>
        <v>0</v>
      </c>
    </row>
    <row r="83" spans="1:14" x14ac:dyDescent="0.35">
      <c r="A83" s="80" t="s">
        <v>338</v>
      </c>
      <c r="B83" s="80" t="s">
        <v>339</v>
      </c>
      <c r="C83" s="240">
        <v>267.45999999999998</v>
      </c>
      <c r="D83" s="80" t="s">
        <v>338</v>
      </c>
      <c r="E83" s="80" t="s">
        <v>339</v>
      </c>
      <c r="F83" s="240">
        <v>267.45999999999998</v>
      </c>
      <c r="G83" s="80" t="s">
        <v>338</v>
      </c>
      <c r="H83" s="80" t="s">
        <v>339</v>
      </c>
      <c r="I83" s="236">
        <v>954</v>
      </c>
      <c r="J83" t="str">
        <f t="shared" si="2"/>
        <v>103</v>
      </c>
      <c r="K83" s="83" t="s">
        <v>305</v>
      </c>
      <c r="L83" s="26">
        <f t="shared" si="3"/>
        <v>0</v>
      </c>
    </row>
    <row r="84" spans="1:14" x14ac:dyDescent="0.35">
      <c r="A84" s="84" t="s">
        <v>340</v>
      </c>
      <c r="B84" s="84" t="s">
        <v>341</v>
      </c>
      <c r="C84" s="241">
        <v>6.48</v>
      </c>
      <c r="D84" s="84" t="s">
        <v>340</v>
      </c>
      <c r="E84" s="84" t="s">
        <v>341</v>
      </c>
      <c r="F84" s="241">
        <v>6.48</v>
      </c>
      <c r="G84" s="84" t="s">
        <v>340</v>
      </c>
      <c r="H84" s="84" t="s">
        <v>341</v>
      </c>
      <c r="I84" s="235">
        <v>23.13</v>
      </c>
      <c r="J84" t="str">
        <f t="shared" si="2"/>
        <v>103</v>
      </c>
      <c r="K84" s="83" t="s">
        <v>305</v>
      </c>
      <c r="L84" s="26">
        <f t="shared" si="3"/>
        <v>0</v>
      </c>
    </row>
    <row r="85" spans="1:14" x14ac:dyDescent="0.35">
      <c r="A85" s="80" t="s">
        <v>342</v>
      </c>
      <c r="B85" s="80" t="s">
        <v>343</v>
      </c>
      <c r="C85" s="240">
        <v>252116499.33000001</v>
      </c>
      <c r="D85" s="80" t="s">
        <v>342</v>
      </c>
      <c r="E85" s="80" t="s">
        <v>343</v>
      </c>
      <c r="F85" s="240">
        <v>252116499.33000001</v>
      </c>
      <c r="G85" s="80" t="s">
        <v>342</v>
      </c>
      <c r="H85" s="80" t="s">
        <v>343</v>
      </c>
      <c r="I85" s="236">
        <v>217160103.88999999</v>
      </c>
      <c r="J85" t="str">
        <f t="shared" si="2"/>
        <v>103</v>
      </c>
      <c r="K85" s="83" t="s">
        <v>305</v>
      </c>
      <c r="L85" s="26">
        <f t="shared" si="3"/>
        <v>0</v>
      </c>
    </row>
    <row r="86" spans="1:14" x14ac:dyDescent="0.35">
      <c r="A86" s="80" t="s">
        <v>344</v>
      </c>
      <c r="B86" s="80" t="s">
        <v>345</v>
      </c>
      <c r="C86" s="240">
        <v>792792.79</v>
      </c>
      <c r="D86" s="80" t="s">
        <v>344</v>
      </c>
      <c r="E86" s="80" t="s">
        <v>345</v>
      </c>
      <c r="F86" s="240">
        <v>792792.79</v>
      </c>
      <c r="G86" s="80" t="s">
        <v>344</v>
      </c>
      <c r="H86" s="80" t="s">
        <v>345</v>
      </c>
      <c r="I86" s="236">
        <v>3084545.45</v>
      </c>
      <c r="J86" t="str">
        <f t="shared" si="2"/>
        <v>107</v>
      </c>
      <c r="K86" s="83" t="s">
        <v>346</v>
      </c>
      <c r="L86" s="26">
        <f t="shared" si="3"/>
        <v>0</v>
      </c>
    </row>
    <row r="87" spans="1:14" x14ac:dyDescent="0.35">
      <c r="A87" s="84" t="s">
        <v>347</v>
      </c>
      <c r="B87" s="84" t="s">
        <v>348</v>
      </c>
      <c r="C87" s="241">
        <v>1588481.04</v>
      </c>
      <c r="D87" s="84" t="s">
        <v>347</v>
      </c>
      <c r="E87" s="84" t="s">
        <v>348</v>
      </c>
      <c r="F87" s="241">
        <v>1588481.04</v>
      </c>
      <c r="G87" s="84" t="s">
        <v>347</v>
      </c>
      <c r="H87" s="84" t="s">
        <v>348</v>
      </c>
      <c r="I87" s="235">
        <v>1582839.29</v>
      </c>
      <c r="J87" t="str">
        <f t="shared" si="2"/>
        <v>108</v>
      </c>
      <c r="K87" s="83" t="s">
        <v>305</v>
      </c>
      <c r="L87" s="26">
        <f t="shared" si="3"/>
        <v>0</v>
      </c>
    </row>
    <row r="88" spans="1:14" x14ac:dyDescent="0.35">
      <c r="A88" s="80" t="s">
        <v>349</v>
      </c>
      <c r="B88" s="80" t="s">
        <v>350</v>
      </c>
      <c r="C88" s="240">
        <v>1620626.5</v>
      </c>
      <c r="D88" s="80" t="s">
        <v>349</v>
      </c>
      <c r="E88" s="80" t="s">
        <v>350</v>
      </c>
      <c r="F88" s="240">
        <v>1620626.5</v>
      </c>
      <c r="G88" s="80" t="s">
        <v>349</v>
      </c>
      <c r="H88" s="80" t="s">
        <v>350</v>
      </c>
      <c r="I88" s="236">
        <v>1819522.11</v>
      </c>
      <c r="J88" t="str">
        <f t="shared" si="2"/>
        <v>108</v>
      </c>
      <c r="K88" s="83" t="s">
        <v>305</v>
      </c>
      <c r="L88" s="26">
        <f t="shared" si="3"/>
        <v>0</v>
      </c>
    </row>
    <row r="89" spans="1:14" x14ac:dyDescent="0.35">
      <c r="A89" s="84" t="s">
        <v>351</v>
      </c>
      <c r="B89" s="84" t="s">
        <v>352</v>
      </c>
      <c r="C89" s="241">
        <v>707786223.91999996</v>
      </c>
      <c r="D89" s="84" t="s">
        <v>351</v>
      </c>
      <c r="E89" s="84" t="s">
        <v>352</v>
      </c>
      <c r="F89" s="241">
        <v>707786223.91999996</v>
      </c>
      <c r="G89" s="84" t="s">
        <v>351</v>
      </c>
      <c r="H89" s="84" t="s">
        <v>352</v>
      </c>
      <c r="I89" s="235">
        <v>0</v>
      </c>
      <c r="J89" t="str">
        <f t="shared" si="2"/>
        <v>108</v>
      </c>
      <c r="K89" s="83" t="s">
        <v>782</v>
      </c>
      <c r="L89" s="26">
        <f t="shared" si="3"/>
        <v>0</v>
      </c>
    </row>
    <row r="90" spans="1:14" x14ac:dyDescent="0.35">
      <c r="A90" s="84" t="s">
        <v>351</v>
      </c>
      <c r="B90" s="84" t="s">
        <v>352</v>
      </c>
      <c r="C90" s="241">
        <f>42275016.7</f>
        <v>42275016.700000003</v>
      </c>
      <c r="D90" s="84" t="s">
        <v>351</v>
      </c>
      <c r="E90" s="84" t="s">
        <v>352</v>
      </c>
      <c r="F90" s="241">
        <f>42275016.7</f>
        <v>42275016.700000003</v>
      </c>
      <c r="G90" s="84" t="s">
        <v>351</v>
      </c>
      <c r="H90" s="84" t="s">
        <v>352</v>
      </c>
      <c r="I90" s="235">
        <f>32332602.41</f>
        <v>32332602.41</v>
      </c>
      <c r="J90" t="str">
        <f t="shared" si="2"/>
        <v>108</v>
      </c>
      <c r="K90" s="83" t="s">
        <v>305</v>
      </c>
      <c r="L90" s="26">
        <f t="shared" si="3"/>
        <v>0</v>
      </c>
    </row>
    <row r="91" spans="1:14" x14ac:dyDescent="0.35">
      <c r="A91" s="80" t="s">
        <v>353</v>
      </c>
      <c r="B91" s="80" t="s">
        <v>354</v>
      </c>
      <c r="C91" s="240">
        <v>2146159.21</v>
      </c>
      <c r="D91" s="80" t="s">
        <v>353</v>
      </c>
      <c r="E91" s="80" t="s">
        <v>354</v>
      </c>
      <c r="F91" s="240">
        <v>2146159.21</v>
      </c>
      <c r="G91" s="80" t="s">
        <v>353</v>
      </c>
      <c r="H91" s="80" t="s">
        <v>354</v>
      </c>
      <c r="I91" s="85">
        <v>2140786</v>
      </c>
      <c r="J91" t="str">
        <f t="shared" si="2"/>
        <v>108</v>
      </c>
      <c r="K91" s="83" t="s">
        <v>305</v>
      </c>
      <c r="L91" s="26">
        <f t="shared" si="3"/>
        <v>0</v>
      </c>
    </row>
    <row r="92" spans="1:14" x14ac:dyDescent="0.35">
      <c r="A92" s="80" t="s">
        <v>355</v>
      </c>
      <c r="B92" s="80" t="s">
        <v>356</v>
      </c>
      <c r="C92" s="81">
        <v>0</v>
      </c>
      <c r="D92" s="80" t="s">
        <v>355</v>
      </c>
      <c r="E92" s="80" t="s">
        <v>356</v>
      </c>
      <c r="F92" s="81">
        <v>0</v>
      </c>
      <c r="G92" s="80" t="s">
        <v>355</v>
      </c>
      <c r="H92" s="80" t="s">
        <v>356</v>
      </c>
      <c r="I92" s="81">
        <v>0</v>
      </c>
      <c r="J92" t="str">
        <f t="shared" si="2"/>
        <v>108</v>
      </c>
      <c r="K92" s="83" t="s">
        <v>305</v>
      </c>
      <c r="L92" s="26">
        <f t="shared" si="3"/>
        <v>0</v>
      </c>
    </row>
    <row r="93" spans="1:14" x14ac:dyDescent="0.35">
      <c r="A93" s="80" t="s">
        <v>357</v>
      </c>
      <c r="B93" s="80" t="s">
        <v>358</v>
      </c>
      <c r="C93" s="81">
        <v>0</v>
      </c>
      <c r="D93" s="80" t="s">
        <v>357</v>
      </c>
      <c r="E93" s="80" t="s">
        <v>358</v>
      </c>
      <c r="F93" s="81">
        <v>0</v>
      </c>
      <c r="G93" s="80" t="s">
        <v>357</v>
      </c>
      <c r="H93" s="80" t="s">
        <v>358</v>
      </c>
      <c r="I93" s="81">
        <v>0</v>
      </c>
      <c r="J93" t="str">
        <f t="shared" si="2"/>
        <v>108</v>
      </c>
      <c r="K93" s="83" t="s">
        <v>305</v>
      </c>
      <c r="L93" s="26">
        <f t="shared" si="3"/>
        <v>0</v>
      </c>
    </row>
    <row r="94" spans="1:14" x14ac:dyDescent="0.35">
      <c r="A94" s="80" t="s">
        <v>359</v>
      </c>
      <c r="B94" s="80" t="s">
        <v>360</v>
      </c>
      <c r="C94" s="240">
        <v>549725471.88999999</v>
      </c>
      <c r="D94" s="80" t="s">
        <v>359</v>
      </c>
      <c r="E94" s="80" t="s">
        <v>360</v>
      </c>
      <c r="F94" s="240">
        <v>549725471.88999999</v>
      </c>
      <c r="G94" s="80" t="s">
        <v>359</v>
      </c>
      <c r="H94" s="80" t="s">
        <v>360</v>
      </c>
      <c r="I94" s="236">
        <v>524083274.35000002</v>
      </c>
      <c r="J94" t="str">
        <f t="shared" si="2"/>
        <v>150</v>
      </c>
      <c r="K94" s="83" t="s">
        <v>203</v>
      </c>
      <c r="L94" s="26">
        <f t="shared" si="3"/>
        <v>0</v>
      </c>
      <c r="M94" s="26">
        <f>L94+L95</f>
        <v>0</v>
      </c>
      <c r="N94" s="148">
        <f>-23215944.61-9480071.7</f>
        <v>-32696016.309999999</v>
      </c>
    </row>
    <row r="95" spans="1:14" x14ac:dyDescent="0.35">
      <c r="A95" s="80" t="s">
        <v>361</v>
      </c>
      <c r="B95" s="80" t="s">
        <v>362</v>
      </c>
      <c r="C95" s="240">
        <v>4498851941.8100004</v>
      </c>
      <c r="D95" s="80" t="s">
        <v>361</v>
      </c>
      <c r="E95" s="80" t="s">
        <v>362</v>
      </c>
      <c r="F95" s="240">
        <v>4498851941.8100004</v>
      </c>
      <c r="G95" s="80" t="s">
        <v>361</v>
      </c>
      <c r="H95" s="80" t="s">
        <v>362</v>
      </c>
      <c r="I95" s="236">
        <v>4507834598.1999998</v>
      </c>
      <c r="J95" t="str">
        <f t="shared" si="2"/>
        <v>150</v>
      </c>
      <c r="K95" s="83" t="s">
        <v>203</v>
      </c>
      <c r="L95" s="26">
        <f t="shared" si="3"/>
        <v>0</v>
      </c>
    </row>
    <row r="96" spans="1:14" x14ac:dyDescent="0.35">
      <c r="A96" s="84" t="s">
        <v>363</v>
      </c>
      <c r="B96" s="84" t="s">
        <v>364</v>
      </c>
      <c r="C96" s="241">
        <v>6562701.6100000003</v>
      </c>
      <c r="D96" s="84" t="s">
        <v>363</v>
      </c>
      <c r="E96" s="84" t="s">
        <v>364</v>
      </c>
      <c r="F96" s="241">
        <v>6562701.6100000003</v>
      </c>
      <c r="G96" s="84" t="s">
        <v>363</v>
      </c>
      <c r="H96" s="84" t="s">
        <v>364</v>
      </c>
      <c r="I96" s="235">
        <v>6562701.6100000003</v>
      </c>
      <c r="J96" t="str">
        <f t="shared" si="2"/>
        <v>150</v>
      </c>
      <c r="K96" s="83" t="s">
        <v>203</v>
      </c>
      <c r="L96" s="26">
        <f t="shared" si="3"/>
        <v>0</v>
      </c>
    </row>
    <row r="97" spans="1:13" x14ac:dyDescent="0.35">
      <c r="A97" s="80" t="s">
        <v>365</v>
      </c>
      <c r="B97" s="80" t="s">
        <v>366</v>
      </c>
      <c r="C97" s="240">
        <v>451101975</v>
      </c>
      <c r="D97" s="80" t="s">
        <v>365</v>
      </c>
      <c r="E97" s="80" t="s">
        <v>366</v>
      </c>
      <c r="F97" s="240">
        <v>451101975</v>
      </c>
      <c r="G97" s="80" t="s">
        <v>365</v>
      </c>
      <c r="H97" s="80" t="s">
        <v>366</v>
      </c>
      <c r="I97" s="236">
        <v>324862663</v>
      </c>
      <c r="J97" t="str">
        <f t="shared" si="2"/>
        <v>151</v>
      </c>
      <c r="K97" s="83" t="s">
        <v>203</v>
      </c>
      <c r="L97" s="26">
        <f t="shared" si="3"/>
        <v>0</v>
      </c>
    </row>
    <row r="98" spans="1:13" x14ac:dyDescent="0.35">
      <c r="A98" s="80" t="s">
        <v>367</v>
      </c>
      <c r="B98" s="80" t="s">
        <v>368</v>
      </c>
      <c r="C98" s="240">
        <v>278054248.75</v>
      </c>
      <c r="D98" s="80" t="s">
        <v>367</v>
      </c>
      <c r="E98" s="80" t="s">
        <v>368</v>
      </c>
      <c r="F98" s="240">
        <v>278054248.75</v>
      </c>
      <c r="G98" s="80" t="s">
        <v>367</v>
      </c>
      <c r="H98" s="80" t="s">
        <v>368</v>
      </c>
      <c r="I98" s="236">
        <v>277355919.51999998</v>
      </c>
      <c r="J98" t="str">
        <f t="shared" si="2"/>
        <v>151</v>
      </c>
      <c r="K98" s="83" t="s">
        <v>203</v>
      </c>
      <c r="L98" s="26">
        <f t="shared" si="3"/>
        <v>0</v>
      </c>
    </row>
    <row r="99" spans="1:13" x14ac:dyDescent="0.35">
      <c r="A99" s="82" t="s">
        <v>369</v>
      </c>
      <c r="B99" s="82" t="s">
        <v>370</v>
      </c>
      <c r="C99" s="85">
        <v>0</v>
      </c>
      <c r="D99" s="82" t="s">
        <v>369</v>
      </c>
      <c r="E99" s="82" t="s">
        <v>370</v>
      </c>
      <c r="F99" s="85">
        <v>0</v>
      </c>
      <c r="G99" s="82" t="s">
        <v>369</v>
      </c>
      <c r="H99" s="82" t="s">
        <v>370</v>
      </c>
      <c r="I99" s="85">
        <v>0</v>
      </c>
      <c r="J99" t="str">
        <f t="shared" si="2"/>
        <v>151</v>
      </c>
      <c r="K99" s="83" t="s">
        <v>203</v>
      </c>
      <c r="L99" s="26">
        <f t="shared" si="3"/>
        <v>0</v>
      </c>
    </row>
    <row r="100" spans="1:13" x14ac:dyDescent="0.35">
      <c r="A100" s="80" t="s">
        <v>371</v>
      </c>
      <c r="B100" s="80" t="s">
        <v>372</v>
      </c>
      <c r="C100" s="240">
        <v>391760.86</v>
      </c>
      <c r="D100" s="80" t="s">
        <v>371</v>
      </c>
      <c r="E100" s="80" t="s">
        <v>372</v>
      </c>
      <c r="F100" s="240">
        <v>391760.86</v>
      </c>
      <c r="G100" s="80" t="s">
        <v>371</v>
      </c>
      <c r="H100" s="80" t="s">
        <v>372</v>
      </c>
      <c r="I100" s="236">
        <v>399293.5</v>
      </c>
      <c r="J100" t="str">
        <f t="shared" si="2"/>
        <v>153</v>
      </c>
      <c r="K100" s="83" t="s">
        <v>210</v>
      </c>
      <c r="L100" s="26">
        <f t="shared" si="3"/>
        <v>0</v>
      </c>
    </row>
    <row r="101" spans="1:13" x14ac:dyDescent="0.35">
      <c r="A101" s="80" t="s">
        <v>373</v>
      </c>
      <c r="B101" s="80" t="s">
        <v>374</v>
      </c>
      <c r="C101" s="81">
        <f>447113617-4819282</f>
        <v>442294335</v>
      </c>
      <c r="D101" s="80" t="s">
        <v>373</v>
      </c>
      <c r="E101" s="80" t="s">
        <v>374</v>
      </c>
      <c r="F101" s="81">
        <f>447113617-4819282</f>
        <v>442294335</v>
      </c>
      <c r="G101" s="80" t="s">
        <v>373</v>
      </c>
      <c r="H101" s="80" t="s">
        <v>374</v>
      </c>
      <c r="I101" s="236">
        <v>447113617</v>
      </c>
      <c r="J101" t="str">
        <f t="shared" si="2"/>
        <v>153</v>
      </c>
      <c r="K101" s="77" t="s">
        <v>375</v>
      </c>
      <c r="L101" s="26">
        <f t="shared" si="3"/>
        <v>0</v>
      </c>
      <c r="M101" s="26"/>
    </row>
    <row r="102" spans="1:13" x14ac:dyDescent="0.35">
      <c r="A102" s="80" t="s">
        <v>373</v>
      </c>
      <c r="B102" s="80" t="s">
        <v>374</v>
      </c>
      <c r="C102" s="240">
        <f>478617114.86-442294335</f>
        <v>36322779.860000014</v>
      </c>
      <c r="D102" s="80" t="s">
        <v>373</v>
      </c>
      <c r="E102" s="80" t="s">
        <v>374</v>
      </c>
      <c r="F102" s="240">
        <f>478617114.86-442294335</f>
        <v>36322779.860000014</v>
      </c>
      <c r="G102" s="80" t="s">
        <v>373</v>
      </c>
      <c r="H102" s="80" t="s">
        <v>374</v>
      </c>
      <c r="I102" s="236">
        <f>490838620.66-447113617</f>
        <v>43725003.660000026</v>
      </c>
      <c r="J102" t="str">
        <f t="shared" si="2"/>
        <v>153</v>
      </c>
      <c r="K102" s="83" t="s">
        <v>203</v>
      </c>
      <c r="L102" s="26">
        <f t="shared" si="3"/>
        <v>0</v>
      </c>
    </row>
    <row r="103" spans="1:13" x14ac:dyDescent="0.35">
      <c r="A103" s="84" t="s">
        <v>376</v>
      </c>
      <c r="B103" s="84" t="s">
        <v>377</v>
      </c>
      <c r="C103" s="241">
        <v>0</v>
      </c>
      <c r="D103" s="84" t="s">
        <v>376</v>
      </c>
      <c r="E103" s="84" t="s">
        <v>377</v>
      </c>
      <c r="F103" s="241">
        <v>0</v>
      </c>
      <c r="G103" s="84" t="s">
        <v>376</v>
      </c>
      <c r="H103" s="84" t="s">
        <v>377</v>
      </c>
      <c r="I103" s="236">
        <v>0</v>
      </c>
      <c r="J103" t="str">
        <f t="shared" si="2"/>
        <v>153</v>
      </c>
      <c r="K103" s="83" t="s">
        <v>203</v>
      </c>
      <c r="L103" s="26">
        <f t="shared" si="3"/>
        <v>0</v>
      </c>
    </row>
    <row r="104" spans="1:13" x14ac:dyDescent="0.35">
      <c r="A104" s="80" t="s">
        <v>378</v>
      </c>
      <c r="B104" s="80" t="s">
        <v>379</v>
      </c>
      <c r="C104" s="241">
        <v>100966.7</v>
      </c>
      <c r="D104" s="80" t="s">
        <v>378</v>
      </c>
      <c r="E104" s="80" t="s">
        <v>379</v>
      </c>
      <c r="F104" s="241">
        <v>100966.7</v>
      </c>
      <c r="G104" s="80" t="s">
        <v>378</v>
      </c>
      <c r="H104" s="80" t="s">
        <v>379</v>
      </c>
      <c r="I104" s="235">
        <v>77361.039999999994</v>
      </c>
      <c r="J104" t="str">
        <f t="shared" si="2"/>
        <v>153</v>
      </c>
      <c r="K104" s="83" t="s">
        <v>203</v>
      </c>
      <c r="L104" s="26">
        <f t="shared" si="3"/>
        <v>0</v>
      </c>
    </row>
    <row r="105" spans="1:13" x14ac:dyDescent="0.35">
      <c r="A105" s="84" t="s">
        <v>380</v>
      </c>
      <c r="B105" s="84" t="s">
        <v>381</v>
      </c>
      <c r="C105" s="240">
        <v>0</v>
      </c>
      <c r="D105" s="84" t="s">
        <v>380</v>
      </c>
      <c r="E105" s="84" t="s">
        <v>381</v>
      </c>
      <c r="F105" s="240">
        <v>0</v>
      </c>
      <c r="G105" s="84" t="s">
        <v>380</v>
      </c>
      <c r="H105" s="84" t="s">
        <v>381</v>
      </c>
      <c r="I105" s="236">
        <v>0</v>
      </c>
      <c r="J105" t="str">
        <f t="shared" si="2"/>
        <v>153</v>
      </c>
      <c r="K105" s="83" t="s">
        <v>203</v>
      </c>
      <c r="L105" s="26">
        <f t="shared" si="3"/>
        <v>0</v>
      </c>
    </row>
    <row r="106" spans="1:13" x14ac:dyDescent="0.35">
      <c r="A106" s="80" t="s">
        <v>382</v>
      </c>
      <c r="B106" s="80" t="s">
        <v>383</v>
      </c>
      <c r="C106" s="240">
        <v>35282637.609999999</v>
      </c>
      <c r="D106" s="80" t="s">
        <v>382</v>
      </c>
      <c r="E106" s="80" t="s">
        <v>383</v>
      </c>
      <c r="F106" s="240">
        <v>35282637.609999999</v>
      </c>
      <c r="G106" s="80" t="s">
        <v>382</v>
      </c>
      <c r="H106" s="80" t="s">
        <v>383</v>
      </c>
      <c r="I106" s="235">
        <v>38582898.539999999</v>
      </c>
      <c r="J106" t="str">
        <f t="shared" si="2"/>
        <v>153</v>
      </c>
      <c r="K106" s="83" t="s">
        <v>203</v>
      </c>
      <c r="L106" s="26">
        <f t="shared" si="3"/>
        <v>0</v>
      </c>
    </row>
    <row r="107" spans="1:13" x14ac:dyDescent="0.35">
      <c r="A107" s="84" t="s">
        <v>384</v>
      </c>
      <c r="B107" s="84" t="s">
        <v>385</v>
      </c>
      <c r="C107" s="241">
        <v>-11843244</v>
      </c>
      <c r="D107" s="84" t="s">
        <v>384</v>
      </c>
      <c r="E107" s="84" t="s">
        <v>385</v>
      </c>
      <c r="F107" s="241">
        <v>-11843244</v>
      </c>
      <c r="G107" s="84" t="s">
        <v>384</v>
      </c>
      <c r="H107" s="84" t="s">
        <v>385</v>
      </c>
      <c r="I107" s="236">
        <v>-13243646.82</v>
      </c>
      <c r="J107" t="str">
        <f t="shared" si="2"/>
        <v>153</v>
      </c>
      <c r="K107" s="83" t="s">
        <v>203</v>
      </c>
      <c r="L107" s="26">
        <f t="shared" si="3"/>
        <v>0</v>
      </c>
    </row>
    <row r="108" spans="1:13" x14ac:dyDescent="0.35">
      <c r="A108" s="80" t="s">
        <v>386</v>
      </c>
      <c r="B108" s="80" t="s">
        <v>387</v>
      </c>
      <c r="C108" s="240">
        <v>-559654.11</v>
      </c>
      <c r="D108" s="80" t="s">
        <v>386</v>
      </c>
      <c r="E108" s="80" t="s">
        <v>387</v>
      </c>
      <c r="F108" s="240">
        <v>-559654.11</v>
      </c>
      <c r="G108" s="80" t="s">
        <v>386</v>
      </c>
      <c r="H108" s="80" t="s">
        <v>387</v>
      </c>
      <c r="I108" s="235">
        <v>-639176.78</v>
      </c>
      <c r="J108" t="str">
        <f t="shared" si="2"/>
        <v>153</v>
      </c>
      <c r="K108" s="83" t="s">
        <v>203</v>
      </c>
      <c r="L108" s="26">
        <f t="shared" si="3"/>
        <v>0</v>
      </c>
    </row>
    <row r="109" spans="1:13" x14ac:dyDescent="0.35">
      <c r="A109" s="80" t="s">
        <v>388</v>
      </c>
      <c r="B109" s="80" t="s">
        <v>389</v>
      </c>
      <c r="C109" s="240">
        <v>5994003.3399999999</v>
      </c>
      <c r="D109" s="80" t="s">
        <v>388</v>
      </c>
      <c r="E109" s="80" t="s">
        <v>389</v>
      </c>
      <c r="F109" s="240">
        <v>5994003.3399999999</v>
      </c>
      <c r="G109" s="80" t="s">
        <v>388</v>
      </c>
      <c r="H109" s="80" t="s">
        <v>389</v>
      </c>
      <c r="I109" s="235">
        <v>5994003.3399999999</v>
      </c>
      <c r="J109" t="str">
        <f t="shared" si="2"/>
        <v>153</v>
      </c>
      <c r="K109" s="83" t="s">
        <v>210</v>
      </c>
      <c r="L109" s="26">
        <f t="shared" si="3"/>
        <v>0</v>
      </c>
    </row>
    <row r="110" spans="1:13" x14ac:dyDescent="0.35">
      <c r="A110" s="80" t="s">
        <v>390</v>
      </c>
      <c r="B110" s="80" t="s">
        <v>391</v>
      </c>
      <c r="C110" s="235">
        <v>39849299</v>
      </c>
      <c r="D110" s="80" t="s">
        <v>390</v>
      </c>
      <c r="E110" s="80" t="s">
        <v>391</v>
      </c>
      <c r="F110" s="235">
        <v>39849299</v>
      </c>
      <c r="G110" s="80" t="s">
        <v>390</v>
      </c>
      <c r="H110" s="80" t="s">
        <v>391</v>
      </c>
      <c r="I110" s="235">
        <f>34055099</f>
        <v>34055099</v>
      </c>
      <c r="J110" t="str">
        <f t="shared" ref="J110" si="4">LEFT(A110,3)</f>
        <v>153</v>
      </c>
      <c r="K110" s="83" t="s">
        <v>867</v>
      </c>
      <c r="L110" s="26">
        <f t="shared" si="3"/>
        <v>0</v>
      </c>
    </row>
    <row r="111" spans="1:13" x14ac:dyDescent="0.35">
      <c r="A111" s="80" t="s">
        <v>390</v>
      </c>
      <c r="B111" s="80" t="s">
        <v>391</v>
      </c>
      <c r="C111" s="240">
        <f>40907116.47-39849299</f>
        <v>1057817.4699999988</v>
      </c>
      <c r="D111" s="80" t="s">
        <v>390</v>
      </c>
      <c r="E111" s="80" t="s">
        <v>391</v>
      </c>
      <c r="F111" s="240">
        <f>40907116.47-39849299</f>
        <v>1057817.4699999988</v>
      </c>
      <c r="G111" s="80" t="s">
        <v>390</v>
      </c>
      <c r="H111" s="80" t="s">
        <v>391</v>
      </c>
      <c r="I111" s="235">
        <f>34966001.52-34055099</f>
        <v>910902.52000000328</v>
      </c>
      <c r="J111" t="str">
        <f t="shared" si="2"/>
        <v>153</v>
      </c>
      <c r="K111" s="83" t="s">
        <v>210</v>
      </c>
      <c r="L111" s="26">
        <f t="shared" si="3"/>
        <v>0</v>
      </c>
    </row>
    <row r="112" spans="1:13" x14ac:dyDescent="0.35">
      <c r="A112" s="84" t="s">
        <v>392</v>
      </c>
      <c r="B112" s="84" t="s">
        <v>393</v>
      </c>
      <c r="C112" s="241">
        <v>-3707.71</v>
      </c>
      <c r="D112" s="84" t="s">
        <v>392</v>
      </c>
      <c r="E112" s="84" t="s">
        <v>393</v>
      </c>
      <c r="F112" s="241">
        <v>-3707.71</v>
      </c>
      <c r="G112" s="84" t="s">
        <v>392</v>
      </c>
      <c r="H112" s="84" t="s">
        <v>393</v>
      </c>
      <c r="I112" s="236">
        <v>-4215.84</v>
      </c>
      <c r="J112" t="str">
        <f t="shared" si="2"/>
        <v>153</v>
      </c>
      <c r="K112" s="83" t="s">
        <v>210</v>
      </c>
      <c r="L112" s="26">
        <f t="shared" si="3"/>
        <v>0</v>
      </c>
    </row>
    <row r="113" spans="1:15" x14ac:dyDescent="0.35">
      <c r="A113" s="84" t="s">
        <v>907</v>
      </c>
      <c r="B113" s="84" t="s">
        <v>908</v>
      </c>
      <c r="C113" s="241">
        <v>36486654.329999998</v>
      </c>
      <c r="D113" s="84" t="s">
        <v>907</v>
      </c>
      <c r="E113" s="84" t="s">
        <v>908</v>
      </c>
      <c r="F113" s="241">
        <v>36486654.329999998</v>
      </c>
      <c r="G113" s="84" t="s">
        <v>907</v>
      </c>
      <c r="H113" s="84" t="s">
        <v>908</v>
      </c>
      <c r="I113" s="236">
        <v>23832198.329999998</v>
      </c>
      <c r="J113" t="str">
        <f>LEFT(D113,3)</f>
        <v>153</v>
      </c>
      <c r="K113" s="83" t="s">
        <v>305</v>
      </c>
      <c r="L113" s="26">
        <f t="shared" si="3"/>
        <v>0</v>
      </c>
    </row>
    <row r="114" spans="1:15" x14ac:dyDescent="0.35">
      <c r="A114" s="84" t="s">
        <v>394</v>
      </c>
      <c r="B114" s="84" t="s">
        <v>395</v>
      </c>
      <c r="C114" s="240">
        <v>317955140.12</v>
      </c>
      <c r="D114" s="84" t="s">
        <v>394</v>
      </c>
      <c r="E114" s="84" t="s">
        <v>395</v>
      </c>
      <c r="F114" s="240">
        <v>317955140.12</v>
      </c>
      <c r="G114" s="84" t="s">
        <v>394</v>
      </c>
      <c r="H114" s="84" t="s">
        <v>395</v>
      </c>
      <c r="I114" s="236">
        <v>359348221.69999999</v>
      </c>
      <c r="J114" t="str">
        <f t="shared" si="2"/>
        <v>153</v>
      </c>
      <c r="K114" s="83" t="s">
        <v>203</v>
      </c>
      <c r="L114" s="26">
        <f t="shared" si="3"/>
        <v>0</v>
      </c>
      <c r="M114" s="26">
        <f>L114+L60</f>
        <v>0</v>
      </c>
      <c r="O114" s="26"/>
    </row>
    <row r="115" spans="1:15" x14ac:dyDescent="0.35">
      <c r="A115" s="84" t="s">
        <v>396</v>
      </c>
      <c r="B115" s="84" t="s">
        <v>397</v>
      </c>
      <c r="C115" s="240">
        <v>129476151.63</v>
      </c>
      <c r="D115" s="84" t="s">
        <v>396</v>
      </c>
      <c r="E115" s="84" t="s">
        <v>397</v>
      </c>
      <c r="F115" s="240">
        <v>129476151.63</v>
      </c>
      <c r="G115" s="84" t="s">
        <v>396</v>
      </c>
      <c r="H115" s="84" t="s">
        <v>397</v>
      </c>
      <c r="I115" s="236">
        <v>100789789.06</v>
      </c>
      <c r="J115" t="str">
        <f t="shared" si="2"/>
        <v>153</v>
      </c>
      <c r="K115" s="83" t="s">
        <v>305</v>
      </c>
      <c r="L115" s="26">
        <f t="shared" si="3"/>
        <v>0</v>
      </c>
    </row>
    <row r="116" spans="1:15" x14ac:dyDescent="0.35">
      <c r="A116" s="84" t="s">
        <v>398</v>
      </c>
      <c r="B116" s="84" t="s">
        <v>399</v>
      </c>
      <c r="C116" s="240">
        <v>39026298.789999999</v>
      </c>
      <c r="D116" s="84" t="s">
        <v>398</v>
      </c>
      <c r="E116" s="84" t="s">
        <v>399</v>
      </c>
      <c r="F116" s="240">
        <v>39026298.789999999</v>
      </c>
      <c r="G116" s="84" t="s">
        <v>398</v>
      </c>
      <c r="H116" s="84" t="s">
        <v>399</v>
      </c>
      <c r="I116" s="236">
        <v>37857167.350000001</v>
      </c>
      <c r="J116" t="str">
        <f t="shared" si="2"/>
        <v>154</v>
      </c>
      <c r="K116" s="83" t="s">
        <v>346</v>
      </c>
      <c r="L116" s="26">
        <f t="shared" si="3"/>
        <v>0</v>
      </c>
    </row>
    <row r="117" spans="1:15" x14ac:dyDescent="0.35">
      <c r="A117" s="80" t="s">
        <v>400</v>
      </c>
      <c r="B117" s="80" t="s">
        <v>401</v>
      </c>
      <c r="C117" s="241">
        <v>-1797046.33</v>
      </c>
      <c r="D117" s="80" t="s">
        <v>400</v>
      </c>
      <c r="E117" s="80" t="s">
        <v>401</v>
      </c>
      <c r="F117" s="241">
        <v>-1797046.33</v>
      </c>
      <c r="G117" s="80" t="s">
        <v>400</v>
      </c>
      <c r="H117" s="80" t="s">
        <v>401</v>
      </c>
      <c r="I117" s="235">
        <v>-898887.26</v>
      </c>
      <c r="J117" t="str">
        <f t="shared" si="2"/>
        <v>154</v>
      </c>
      <c r="K117" s="83" t="s">
        <v>346</v>
      </c>
      <c r="L117" s="26">
        <f t="shared" si="3"/>
        <v>0</v>
      </c>
    </row>
    <row r="118" spans="1:15" x14ac:dyDescent="0.35">
      <c r="A118" s="80" t="s">
        <v>402</v>
      </c>
      <c r="B118" s="80" t="s">
        <v>403</v>
      </c>
      <c r="C118" s="241">
        <v>245138993.94999999</v>
      </c>
      <c r="D118" s="80" t="s">
        <v>402</v>
      </c>
      <c r="E118" s="80" t="s">
        <v>403</v>
      </c>
      <c r="F118" s="241">
        <v>245138993.94999999</v>
      </c>
      <c r="G118" s="80" t="s">
        <v>402</v>
      </c>
      <c r="H118" s="80" t="s">
        <v>403</v>
      </c>
      <c r="I118" s="235">
        <v>207868247.47</v>
      </c>
      <c r="J118" t="str">
        <f t="shared" si="2"/>
        <v>155</v>
      </c>
      <c r="K118" s="83" t="s">
        <v>346</v>
      </c>
      <c r="L118" s="26">
        <f t="shared" si="3"/>
        <v>0</v>
      </c>
    </row>
    <row r="119" spans="1:15" x14ac:dyDescent="0.35">
      <c r="A119" s="84" t="s">
        <v>404</v>
      </c>
      <c r="B119" s="84" t="s">
        <v>405</v>
      </c>
      <c r="C119" s="240">
        <v>1198067547.5899999</v>
      </c>
      <c r="D119" s="84" t="s">
        <v>404</v>
      </c>
      <c r="E119" s="84" t="s">
        <v>405</v>
      </c>
      <c r="F119" s="240">
        <v>1198067547.5899999</v>
      </c>
      <c r="G119" s="84" t="s">
        <v>404</v>
      </c>
      <c r="H119" s="84" t="s">
        <v>405</v>
      </c>
      <c r="I119" s="236">
        <v>1140928452.3299999</v>
      </c>
      <c r="J119" t="str">
        <f t="shared" si="2"/>
        <v>155</v>
      </c>
      <c r="K119" s="83" t="s">
        <v>346</v>
      </c>
      <c r="L119" s="26">
        <f t="shared" si="3"/>
        <v>0</v>
      </c>
    </row>
    <row r="120" spans="1:15" x14ac:dyDescent="0.35">
      <c r="A120" s="84" t="s">
        <v>406</v>
      </c>
      <c r="B120" s="84" t="s">
        <v>407</v>
      </c>
      <c r="C120" s="241">
        <v>2637510818.04</v>
      </c>
      <c r="D120" s="84" t="s">
        <v>406</v>
      </c>
      <c r="E120" s="84" t="s">
        <v>407</v>
      </c>
      <c r="F120" s="241">
        <v>2637510818.04</v>
      </c>
      <c r="G120" s="84" t="s">
        <v>406</v>
      </c>
      <c r="H120" s="84" t="s">
        <v>407</v>
      </c>
      <c r="I120" s="235">
        <v>2555386103.21</v>
      </c>
      <c r="J120" t="str">
        <f t="shared" si="2"/>
        <v>155</v>
      </c>
      <c r="K120" s="83" t="s">
        <v>346</v>
      </c>
      <c r="L120" s="26">
        <f t="shared" si="3"/>
        <v>0</v>
      </c>
    </row>
    <row r="121" spans="1:15" x14ac:dyDescent="0.35">
      <c r="A121" s="80" t="s">
        <v>408</v>
      </c>
      <c r="B121" s="80" t="s">
        <v>409</v>
      </c>
      <c r="C121" s="240">
        <v>494454032.14999998</v>
      </c>
      <c r="D121" s="80" t="s">
        <v>408</v>
      </c>
      <c r="E121" s="80" t="s">
        <v>409</v>
      </c>
      <c r="F121" s="240">
        <v>494454032.14999998</v>
      </c>
      <c r="G121" s="80" t="s">
        <v>408</v>
      </c>
      <c r="H121" s="80" t="s">
        <v>409</v>
      </c>
      <c r="I121" s="236">
        <v>436508047.69999999</v>
      </c>
      <c r="J121" t="str">
        <f t="shared" si="2"/>
        <v>155</v>
      </c>
      <c r="K121" s="83" t="s">
        <v>346</v>
      </c>
      <c r="L121" s="26">
        <f t="shared" si="3"/>
        <v>0</v>
      </c>
    </row>
    <row r="122" spans="1:15" x14ac:dyDescent="0.35">
      <c r="A122" s="80" t="s">
        <v>410</v>
      </c>
      <c r="B122" s="80" t="s">
        <v>411</v>
      </c>
      <c r="C122" s="240">
        <v>-392821248.62</v>
      </c>
      <c r="D122" s="80" t="s">
        <v>410</v>
      </c>
      <c r="E122" s="80" t="s">
        <v>411</v>
      </c>
      <c r="F122" s="240">
        <v>-392821248.62</v>
      </c>
      <c r="G122" s="80" t="s">
        <v>410</v>
      </c>
      <c r="H122" s="80" t="s">
        <v>411</v>
      </c>
      <c r="I122" s="236">
        <v>-371631002.87</v>
      </c>
      <c r="J122" t="str">
        <f t="shared" si="2"/>
        <v>155</v>
      </c>
      <c r="K122" s="83" t="s">
        <v>346</v>
      </c>
      <c r="L122" s="26">
        <f t="shared" si="3"/>
        <v>0</v>
      </c>
    </row>
    <row r="123" spans="1:15" x14ac:dyDescent="0.35">
      <c r="A123" s="80" t="s">
        <v>412</v>
      </c>
      <c r="B123" s="80" t="s">
        <v>413</v>
      </c>
      <c r="C123" s="241">
        <v>-1130515958.6199999</v>
      </c>
      <c r="D123" s="80" t="s">
        <v>412</v>
      </c>
      <c r="E123" s="80" t="s">
        <v>413</v>
      </c>
      <c r="F123" s="241">
        <v>-1130515958.6199999</v>
      </c>
      <c r="G123" s="80" t="s">
        <v>412</v>
      </c>
      <c r="H123" s="80" t="s">
        <v>413</v>
      </c>
      <c r="I123" s="235">
        <v>-1063534689.23</v>
      </c>
      <c r="J123" t="str">
        <f t="shared" si="2"/>
        <v>155</v>
      </c>
      <c r="K123" s="83" t="s">
        <v>346</v>
      </c>
      <c r="L123" s="26">
        <f t="shared" si="3"/>
        <v>0</v>
      </c>
    </row>
    <row r="124" spans="1:15" x14ac:dyDescent="0.35">
      <c r="A124" s="84" t="s">
        <v>414</v>
      </c>
      <c r="B124" s="84" t="s">
        <v>415</v>
      </c>
      <c r="C124" s="240">
        <v>-186754822.49000001</v>
      </c>
      <c r="D124" s="84" t="s">
        <v>414</v>
      </c>
      <c r="E124" s="84" t="s">
        <v>415</v>
      </c>
      <c r="F124" s="240">
        <v>-186754822.49000001</v>
      </c>
      <c r="G124" s="84" t="s">
        <v>414</v>
      </c>
      <c r="H124" s="84" t="s">
        <v>415</v>
      </c>
      <c r="I124" s="236">
        <v>-182553355.09</v>
      </c>
      <c r="J124" t="str">
        <f t="shared" si="2"/>
        <v>155</v>
      </c>
      <c r="K124" s="83" t="s">
        <v>346</v>
      </c>
      <c r="L124" s="26">
        <f t="shared" si="3"/>
        <v>0</v>
      </c>
    </row>
    <row r="125" spans="1:15" x14ac:dyDescent="0.35">
      <c r="A125" s="84" t="s">
        <v>416</v>
      </c>
      <c r="B125" s="84" t="s">
        <v>417</v>
      </c>
      <c r="C125" s="240">
        <v>1132467140.6099999</v>
      </c>
      <c r="D125" s="84" t="s">
        <v>416</v>
      </c>
      <c r="E125" s="84" t="s">
        <v>417</v>
      </c>
      <c r="F125" s="240">
        <v>1132467140.6099999</v>
      </c>
      <c r="G125" s="84" t="s">
        <v>416</v>
      </c>
      <c r="H125" s="84" t="s">
        <v>417</v>
      </c>
      <c r="I125" s="236">
        <v>1001345606.8200001</v>
      </c>
      <c r="J125" t="str">
        <f t="shared" si="2"/>
        <v>155</v>
      </c>
      <c r="K125" s="83" t="s">
        <v>346</v>
      </c>
      <c r="L125" s="26">
        <f t="shared" si="3"/>
        <v>0</v>
      </c>
    </row>
    <row r="126" spans="1:15" x14ac:dyDescent="0.35">
      <c r="A126" s="80" t="s">
        <v>418</v>
      </c>
      <c r="B126" s="80" t="s">
        <v>419</v>
      </c>
      <c r="C126" s="241">
        <v>-624896987.83000004</v>
      </c>
      <c r="D126" s="80" t="s">
        <v>418</v>
      </c>
      <c r="E126" s="80" t="s">
        <v>419</v>
      </c>
      <c r="F126" s="241">
        <v>-624896987.83000004</v>
      </c>
      <c r="G126" s="80" t="s">
        <v>418</v>
      </c>
      <c r="H126" s="80" t="s">
        <v>419</v>
      </c>
      <c r="I126" s="235">
        <v>-563629491.98000002</v>
      </c>
      <c r="J126" t="str">
        <f t="shared" si="2"/>
        <v>155</v>
      </c>
      <c r="K126" s="83" t="s">
        <v>346</v>
      </c>
      <c r="L126" s="26">
        <f t="shared" si="3"/>
        <v>0</v>
      </c>
    </row>
    <row r="127" spans="1:15" x14ac:dyDescent="0.35">
      <c r="A127" s="84" t="s">
        <v>420</v>
      </c>
      <c r="B127" s="84" t="s">
        <v>421</v>
      </c>
      <c r="C127" s="240">
        <v>221766234.66</v>
      </c>
      <c r="D127" s="84" t="s">
        <v>420</v>
      </c>
      <c r="E127" s="84" t="s">
        <v>421</v>
      </c>
      <c r="F127" s="240">
        <v>221766234.66</v>
      </c>
      <c r="G127" s="84" t="s">
        <v>420</v>
      </c>
      <c r="H127" s="84" t="s">
        <v>421</v>
      </c>
      <c r="I127" s="236">
        <v>205743275.91999999</v>
      </c>
      <c r="J127" t="str">
        <f t="shared" si="2"/>
        <v>155</v>
      </c>
      <c r="K127" s="83" t="s">
        <v>346</v>
      </c>
      <c r="L127" s="26">
        <f t="shared" si="3"/>
        <v>0</v>
      </c>
    </row>
    <row r="128" spans="1:15" x14ac:dyDescent="0.35">
      <c r="A128" s="80" t="s">
        <v>422</v>
      </c>
      <c r="B128" s="80" t="s">
        <v>423</v>
      </c>
      <c r="C128" s="241">
        <v>234665972.74000001</v>
      </c>
      <c r="D128" s="80" t="s">
        <v>422</v>
      </c>
      <c r="E128" s="80" t="s">
        <v>423</v>
      </c>
      <c r="F128" s="241">
        <v>234665972.74000001</v>
      </c>
      <c r="G128" s="80" t="s">
        <v>422</v>
      </c>
      <c r="H128" s="80" t="s">
        <v>423</v>
      </c>
      <c r="I128" s="235">
        <v>232951138.69</v>
      </c>
      <c r="J128" t="str">
        <f t="shared" si="2"/>
        <v>155</v>
      </c>
      <c r="K128" s="83" t="s">
        <v>346</v>
      </c>
      <c r="L128" s="26">
        <f t="shared" si="3"/>
        <v>0</v>
      </c>
    </row>
    <row r="129" spans="1:12" x14ac:dyDescent="0.35">
      <c r="A129" s="80" t="s">
        <v>424</v>
      </c>
      <c r="B129" s="80" t="s">
        <v>425</v>
      </c>
      <c r="C129" s="241">
        <v>-145927821.61000001</v>
      </c>
      <c r="D129" s="80" t="s">
        <v>424</v>
      </c>
      <c r="E129" s="80" t="s">
        <v>425</v>
      </c>
      <c r="F129" s="241">
        <v>-145927821.61000001</v>
      </c>
      <c r="G129" s="80" t="s">
        <v>424</v>
      </c>
      <c r="H129" s="80" t="s">
        <v>425</v>
      </c>
      <c r="I129" s="235">
        <v>-139843644.66</v>
      </c>
      <c r="J129" t="str">
        <f t="shared" si="2"/>
        <v>155</v>
      </c>
      <c r="K129" s="83" t="s">
        <v>346</v>
      </c>
      <c r="L129" s="26">
        <f t="shared" si="3"/>
        <v>0</v>
      </c>
    </row>
    <row r="130" spans="1:12" x14ac:dyDescent="0.35">
      <c r="A130" s="84" t="s">
        <v>426</v>
      </c>
      <c r="B130" s="84" t="s">
        <v>427</v>
      </c>
      <c r="C130" s="240">
        <v>-138201913.71000001</v>
      </c>
      <c r="D130" s="84" t="s">
        <v>426</v>
      </c>
      <c r="E130" s="84" t="s">
        <v>427</v>
      </c>
      <c r="F130" s="240">
        <v>-138201913.71000001</v>
      </c>
      <c r="G130" s="84" t="s">
        <v>426</v>
      </c>
      <c r="H130" s="84" t="s">
        <v>427</v>
      </c>
      <c r="I130" s="236">
        <v>-136605850.30000001</v>
      </c>
      <c r="J130" t="str">
        <f t="shared" si="2"/>
        <v>155</v>
      </c>
      <c r="K130" s="83" t="s">
        <v>346</v>
      </c>
      <c r="L130" s="26">
        <f t="shared" si="3"/>
        <v>0</v>
      </c>
    </row>
    <row r="131" spans="1:12" x14ac:dyDescent="0.35">
      <c r="A131" s="84" t="s">
        <v>428</v>
      </c>
      <c r="B131" s="84" t="s">
        <v>429</v>
      </c>
      <c r="C131" s="240"/>
      <c r="D131" s="84" t="s">
        <v>428</v>
      </c>
      <c r="E131" s="84" t="s">
        <v>429</v>
      </c>
      <c r="F131" s="240"/>
      <c r="G131" s="84" t="s">
        <v>428</v>
      </c>
      <c r="H131" s="84" t="s">
        <v>429</v>
      </c>
      <c r="I131" s="81"/>
      <c r="J131" t="str">
        <f t="shared" si="2"/>
        <v>155</v>
      </c>
      <c r="K131" s="83" t="s">
        <v>866</v>
      </c>
      <c r="L131" s="26">
        <f t="shared" si="3"/>
        <v>0</v>
      </c>
    </row>
    <row r="132" spans="1:12" x14ac:dyDescent="0.35">
      <c r="A132" s="84" t="s">
        <v>428</v>
      </c>
      <c r="B132" s="84" t="s">
        <v>429</v>
      </c>
      <c r="C132" s="240">
        <v>146680792.65000001</v>
      </c>
      <c r="D132" s="84" t="s">
        <v>428</v>
      </c>
      <c r="E132" s="84" t="s">
        <v>429</v>
      </c>
      <c r="F132" s="240">
        <v>146680792.65000001</v>
      </c>
      <c r="G132" s="84" t="s">
        <v>428</v>
      </c>
      <c r="H132" s="84" t="s">
        <v>429</v>
      </c>
      <c r="I132" s="236">
        <f>132086202.16</f>
        <v>132086202.16</v>
      </c>
      <c r="J132" t="str">
        <f t="shared" si="2"/>
        <v>155</v>
      </c>
      <c r="K132" s="83" t="s">
        <v>346</v>
      </c>
      <c r="L132" s="26">
        <f t="shared" si="3"/>
        <v>0</v>
      </c>
    </row>
    <row r="133" spans="1:12" x14ac:dyDescent="0.35">
      <c r="A133" s="80" t="s">
        <v>430</v>
      </c>
      <c r="B133" s="80" t="s">
        <v>431</v>
      </c>
      <c r="C133" s="241">
        <v>-97848056.290000007</v>
      </c>
      <c r="D133" s="80" t="s">
        <v>430</v>
      </c>
      <c r="E133" s="80" t="s">
        <v>431</v>
      </c>
      <c r="F133" s="241">
        <v>-97848056.290000007</v>
      </c>
      <c r="G133" s="80" t="s">
        <v>430</v>
      </c>
      <c r="H133" s="80" t="s">
        <v>431</v>
      </c>
      <c r="I133" s="235">
        <v>-88221852.109999999</v>
      </c>
      <c r="J133" t="str">
        <f t="shared" si="2"/>
        <v>155</v>
      </c>
      <c r="K133" s="83" t="s">
        <v>346</v>
      </c>
      <c r="L133" s="26">
        <f t="shared" si="3"/>
        <v>0</v>
      </c>
    </row>
    <row r="134" spans="1:12" x14ac:dyDescent="0.35">
      <c r="A134" s="80" t="s">
        <v>432</v>
      </c>
      <c r="B134" s="80" t="s">
        <v>433</v>
      </c>
      <c r="C134" s="241">
        <v>60215109.130000003</v>
      </c>
      <c r="D134" s="80" t="s">
        <v>432</v>
      </c>
      <c r="E134" s="80" t="s">
        <v>433</v>
      </c>
      <c r="F134" s="241">
        <v>60215109.130000003</v>
      </c>
      <c r="G134" s="80" t="s">
        <v>432</v>
      </c>
      <c r="H134" s="80" t="s">
        <v>433</v>
      </c>
      <c r="I134" s="235">
        <v>57407888.600000001</v>
      </c>
      <c r="J134" t="str">
        <f t="shared" si="2"/>
        <v>155</v>
      </c>
      <c r="K134" s="83" t="s">
        <v>346</v>
      </c>
      <c r="L134" s="26">
        <f t="shared" si="3"/>
        <v>0</v>
      </c>
    </row>
    <row r="135" spans="1:12" x14ac:dyDescent="0.35">
      <c r="A135" s="84" t="s">
        <v>434</v>
      </c>
      <c r="B135" s="84" t="s">
        <v>435</v>
      </c>
      <c r="C135" s="240">
        <v>-37556189</v>
      </c>
      <c r="D135" s="84" t="s">
        <v>434</v>
      </c>
      <c r="E135" s="84" t="s">
        <v>435</v>
      </c>
      <c r="F135" s="240">
        <v>-37556189</v>
      </c>
      <c r="G135" s="84" t="s">
        <v>434</v>
      </c>
      <c r="H135" s="84" t="s">
        <v>435</v>
      </c>
      <c r="I135" s="236">
        <v>-35131958.210000001</v>
      </c>
      <c r="J135" t="str">
        <f t="shared" si="2"/>
        <v>155</v>
      </c>
      <c r="K135" s="83" t="s">
        <v>346</v>
      </c>
      <c r="L135" s="26">
        <f t="shared" si="3"/>
        <v>0</v>
      </c>
    </row>
    <row r="136" spans="1:12" x14ac:dyDescent="0.35">
      <c r="A136" s="80" t="s">
        <v>436</v>
      </c>
      <c r="B136" s="80" t="s">
        <v>437</v>
      </c>
      <c r="C136" s="241">
        <v>6069011.9900000002</v>
      </c>
      <c r="D136" s="80" t="s">
        <v>436</v>
      </c>
      <c r="E136" s="80" t="s">
        <v>437</v>
      </c>
      <c r="F136" s="241">
        <v>6069011.9900000002</v>
      </c>
      <c r="G136" s="80" t="s">
        <v>436</v>
      </c>
      <c r="H136" s="80" t="s">
        <v>437</v>
      </c>
      <c r="I136" s="235">
        <v>7269787.9100000001</v>
      </c>
      <c r="J136" t="str">
        <f t="shared" si="2"/>
        <v>155</v>
      </c>
      <c r="K136" s="83" t="s">
        <v>346</v>
      </c>
      <c r="L136" s="26">
        <f t="shared" ref="L136:L151" si="5">F136-C136</f>
        <v>0</v>
      </c>
    </row>
    <row r="137" spans="1:12" x14ac:dyDescent="0.35">
      <c r="A137" s="80" t="s">
        <v>438</v>
      </c>
      <c r="B137" s="80" t="s">
        <v>439</v>
      </c>
      <c r="C137" s="241">
        <v>582329.55000000005</v>
      </c>
      <c r="D137" s="80" t="s">
        <v>438</v>
      </c>
      <c r="E137" s="80" t="s">
        <v>439</v>
      </c>
      <c r="F137" s="241">
        <v>582329.55000000005</v>
      </c>
      <c r="G137" s="80" t="s">
        <v>438</v>
      </c>
      <c r="H137" s="80" t="s">
        <v>439</v>
      </c>
      <c r="I137" s="235">
        <v>734225.22</v>
      </c>
      <c r="J137" t="str">
        <f t="shared" ref="J137:J201" si="6">LEFT(A137,3)</f>
        <v>155</v>
      </c>
      <c r="K137" s="83" t="s">
        <v>346</v>
      </c>
      <c r="L137" s="26">
        <f t="shared" si="5"/>
        <v>0</v>
      </c>
    </row>
    <row r="138" spans="1:12" x14ac:dyDescent="0.35">
      <c r="A138" s="84" t="s">
        <v>440</v>
      </c>
      <c r="B138" s="84" t="s">
        <v>441</v>
      </c>
      <c r="C138" s="240">
        <v>438983100.63</v>
      </c>
      <c r="D138" s="84" t="s">
        <v>440</v>
      </c>
      <c r="E138" s="84" t="s">
        <v>441</v>
      </c>
      <c r="F138" s="240">
        <v>438983100.63</v>
      </c>
      <c r="G138" s="84" t="s">
        <v>440</v>
      </c>
      <c r="H138" s="84" t="s">
        <v>441</v>
      </c>
      <c r="I138" s="236">
        <v>262614486.34</v>
      </c>
      <c r="J138" t="str">
        <f t="shared" si="6"/>
        <v>155</v>
      </c>
      <c r="K138" s="83" t="s">
        <v>346</v>
      </c>
      <c r="L138" s="26">
        <f t="shared" si="5"/>
        <v>0</v>
      </c>
    </row>
    <row r="139" spans="1:12" x14ac:dyDescent="0.35">
      <c r="A139" s="80" t="s">
        <v>442</v>
      </c>
      <c r="B139" s="80" t="s">
        <v>443</v>
      </c>
      <c r="C139" s="241">
        <v>230635751.47</v>
      </c>
      <c r="D139" s="80" t="s">
        <v>442</v>
      </c>
      <c r="E139" s="80" t="s">
        <v>443</v>
      </c>
      <c r="F139" s="241">
        <v>230635751.47</v>
      </c>
      <c r="G139" s="80" t="s">
        <v>442</v>
      </c>
      <c r="H139" s="80" t="s">
        <v>443</v>
      </c>
      <c r="I139" s="235">
        <v>183459641.25</v>
      </c>
      <c r="J139" t="str">
        <f t="shared" si="6"/>
        <v>155</v>
      </c>
      <c r="K139" s="83" t="s">
        <v>444</v>
      </c>
      <c r="L139" s="26">
        <f t="shared" si="5"/>
        <v>0</v>
      </c>
    </row>
    <row r="140" spans="1:12" x14ac:dyDescent="0.35">
      <c r="A140" s="84" t="s">
        <v>445</v>
      </c>
      <c r="B140" s="84" t="s">
        <v>446</v>
      </c>
      <c r="C140" s="240">
        <v>545761317.39999998</v>
      </c>
      <c r="D140" s="84" t="s">
        <v>445</v>
      </c>
      <c r="E140" s="84" t="s">
        <v>446</v>
      </c>
      <c r="F140" s="240">
        <v>545761317.39999998</v>
      </c>
      <c r="G140" s="84" t="s">
        <v>445</v>
      </c>
      <c r="H140" s="84" t="s">
        <v>446</v>
      </c>
      <c r="I140" s="236">
        <v>479318206.81999999</v>
      </c>
      <c r="J140" t="str">
        <f t="shared" si="6"/>
        <v>156</v>
      </c>
      <c r="K140" s="83" t="s">
        <v>346</v>
      </c>
      <c r="L140" s="26">
        <f t="shared" si="5"/>
        <v>0</v>
      </c>
    </row>
    <row r="141" spans="1:12" x14ac:dyDescent="0.35">
      <c r="A141" s="80" t="s">
        <v>447</v>
      </c>
      <c r="B141" s="80" t="s">
        <v>448</v>
      </c>
      <c r="C141" s="241">
        <v>-348027721.30000001</v>
      </c>
      <c r="D141" s="80" t="s">
        <v>447</v>
      </c>
      <c r="E141" s="80" t="s">
        <v>448</v>
      </c>
      <c r="F141" s="241">
        <v>-348027721.30000001</v>
      </c>
      <c r="G141" s="80" t="s">
        <v>447</v>
      </c>
      <c r="H141" s="80" t="s">
        <v>448</v>
      </c>
      <c r="I141" s="235">
        <v>-308433401.91000003</v>
      </c>
      <c r="J141" t="str">
        <f t="shared" si="6"/>
        <v>156</v>
      </c>
      <c r="K141" s="83" t="s">
        <v>346</v>
      </c>
      <c r="L141" s="26">
        <f t="shared" si="5"/>
        <v>0</v>
      </c>
    </row>
    <row r="142" spans="1:12" x14ac:dyDescent="0.35">
      <c r="A142" s="80" t="s">
        <v>449</v>
      </c>
      <c r="B142" s="80" t="s">
        <v>450</v>
      </c>
      <c r="C142" s="241">
        <v>6274284.9400000004</v>
      </c>
      <c r="D142" s="80" t="s">
        <v>449</v>
      </c>
      <c r="E142" s="80" t="s">
        <v>450</v>
      </c>
      <c r="F142" s="241">
        <v>6274284.9400000004</v>
      </c>
      <c r="G142" s="80" t="s">
        <v>449</v>
      </c>
      <c r="H142" s="80" t="s">
        <v>450</v>
      </c>
      <c r="I142" s="235">
        <v>5461244.21</v>
      </c>
      <c r="J142" t="str">
        <f t="shared" si="6"/>
        <v>156</v>
      </c>
      <c r="K142" s="83" t="s">
        <v>346</v>
      </c>
      <c r="L142" s="26">
        <f t="shared" si="5"/>
        <v>0</v>
      </c>
    </row>
    <row r="143" spans="1:12" x14ac:dyDescent="0.35">
      <c r="A143" s="84" t="s">
        <v>451</v>
      </c>
      <c r="B143" s="84" t="s">
        <v>452</v>
      </c>
      <c r="C143" s="240">
        <v>-4250428.01</v>
      </c>
      <c r="D143" s="84" t="s">
        <v>451</v>
      </c>
      <c r="E143" s="84" t="s">
        <v>452</v>
      </c>
      <c r="F143" s="240">
        <v>-4250428.01</v>
      </c>
      <c r="G143" s="84" t="s">
        <v>451</v>
      </c>
      <c r="H143" s="84" t="s">
        <v>452</v>
      </c>
      <c r="I143" s="236">
        <v>-3767916.5</v>
      </c>
      <c r="J143" t="str">
        <f t="shared" si="6"/>
        <v>156</v>
      </c>
      <c r="K143" s="83" t="s">
        <v>346</v>
      </c>
      <c r="L143" s="26">
        <f t="shared" si="5"/>
        <v>0</v>
      </c>
    </row>
    <row r="144" spans="1:12" x14ac:dyDescent="0.35">
      <c r="A144" s="84" t="s">
        <v>453</v>
      </c>
      <c r="B144" s="84" t="s">
        <v>454</v>
      </c>
      <c r="C144" s="240">
        <v>16838391.039999999</v>
      </c>
      <c r="D144" s="84" t="s">
        <v>453</v>
      </c>
      <c r="E144" s="84" t="s">
        <v>454</v>
      </c>
      <c r="F144" s="240">
        <v>16838391.039999999</v>
      </c>
      <c r="G144" s="84" t="s">
        <v>453</v>
      </c>
      <c r="H144" s="84" t="s">
        <v>454</v>
      </c>
      <c r="I144" s="236">
        <v>15386147.85</v>
      </c>
      <c r="J144" t="str">
        <f t="shared" si="6"/>
        <v>156</v>
      </c>
      <c r="K144" s="83" t="s">
        <v>346</v>
      </c>
      <c r="L144" s="26">
        <f t="shared" si="5"/>
        <v>0</v>
      </c>
    </row>
    <row r="145" spans="1:12" x14ac:dyDescent="0.35">
      <c r="A145" s="80" t="s">
        <v>455</v>
      </c>
      <c r="B145" s="80" t="s">
        <v>456</v>
      </c>
      <c r="C145" s="241">
        <v>-12560433.810000001</v>
      </c>
      <c r="D145" s="80" t="s">
        <v>455</v>
      </c>
      <c r="E145" s="80" t="s">
        <v>456</v>
      </c>
      <c r="F145" s="241">
        <v>-12560433.810000001</v>
      </c>
      <c r="G145" s="80" t="s">
        <v>455</v>
      </c>
      <c r="H145" s="80" t="s">
        <v>456</v>
      </c>
      <c r="I145" s="235">
        <v>-10554694.59</v>
      </c>
      <c r="J145" t="str">
        <f t="shared" si="6"/>
        <v>156</v>
      </c>
      <c r="K145" s="83" t="s">
        <v>346</v>
      </c>
      <c r="L145" s="26">
        <f t="shared" si="5"/>
        <v>0</v>
      </c>
    </row>
    <row r="146" spans="1:12" x14ac:dyDescent="0.35">
      <c r="A146" s="80" t="s">
        <v>457</v>
      </c>
      <c r="B146" s="80" t="s">
        <v>439</v>
      </c>
      <c r="C146" s="85">
        <v>0</v>
      </c>
      <c r="D146" s="80" t="s">
        <v>457</v>
      </c>
      <c r="E146" s="80" t="s">
        <v>439</v>
      </c>
      <c r="F146" s="85">
        <v>0</v>
      </c>
      <c r="G146" s="80" t="s">
        <v>457</v>
      </c>
      <c r="H146" s="80" t="s">
        <v>439</v>
      </c>
      <c r="I146" s="85">
        <v>0</v>
      </c>
      <c r="J146" t="str">
        <f t="shared" si="6"/>
        <v>156</v>
      </c>
      <c r="K146" s="83" t="s">
        <v>346</v>
      </c>
      <c r="L146" s="26">
        <f t="shared" si="5"/>
        <v>0</v>
      </c>
    </row>
    <row r="147" spans="1:12" x14ac:dyDescent="0.35">
      <c r="A147" s="84" t="s">
        <v>458</v>
      </c>
      <c r="B147" s="84" t="s">
        <v>441</v>
      </c>
      <c r="C147" s="241">
        <v>35945888.079999998</v>
      </c>
      <c r="D147" s="84" t="s">
        <v>458</v>
      </c>
      <c r="E147" s="84" t="s">
        <v>441</v>
      </c>
      <c r="F147" s="241">
        <v>35945888.079999998</v>
      </c>
      <c r="G147" s="84" t="s">
        <v>458</v>
      </c>
      <c r="H147" s="84" t="s">
        <v>441</v>
      </c>
      <c r="I147" s="235">
        <v>38456593.460000001</v>
      </c>
      <c r="J147" t="str">
        <f t="shared" si="6"/>
        <v>156</v>
      </c>
      <c r="K147" s="83" t="s">
        <v>346</v>
      </c>
      <c r="L147" s="26">
        <f t="shared" si="5"/>
        <v>0</v>
      </c>
    </row>
    <row r="148" spans="1:12" x14ac:dyDescent="0.35">
      <c r="A148" s="80" t="s">
        <v>459</v>
      </c>
      <c r="B148" s="80" t="s">
        <v>460</v>
      </c>
      <c r="C148" s="81">
        <v>0</v>
      </c>
      <c r="D148" s="80" t="s">
        <v>459</v>
      </c>
      <c r="E148" s="80" t="s">
        <v>460</v>
      </c>
      <c r="F148" s="81">
        <v>0</v>
      </c>
      <c r="G148" s="80" t="s">
        <v>459</v>
      </c>
      <c r="H148" s="80" t="s">
        <v>460</v>
      </c>
      <c r="I148" s="81">
        <v>0</v>
      </c>
      <c r="J148" t="str">
        <f t="shared" si="6"/>
        <v>156</v>
      </c>
      <c r="K148" s="83" t="s">
        <v>444</v>
      </c>
      <c r="L148" s="26">
        <f t="shared" si="5"/>
        <v>0</v>
      </c>
    </row>
    <row r="149" spans="1:12" x14ac:dyDescent="0.35">
      <c r="A149" s="80" t="s">
        <v>461</v>
      </c>
      <c r="B149" s="80" t="s">
        <v>462</v>
      </c>
      <c r="C149" s="241">
        <v>23319.18</v>
      </c>
      <c r="D149" s="80" t="s">
        <v>461</v>
      </c>
      <c r="E149" s="80" t="s">
        <v>462</v>
      </c>
      <c r="F149" s="241">
        <v>23319.18</v>
      </c>
      <c r="G149" s="80" t="s">
        <v>461</v>
      </c>
      <c r="H149" s="80" t="s">
        <v>462</v>
      </c>
      <c r="I149" s="235">
        <v>20422.8</v>
      </c>
      <c r="J149" t="str">
        <f t="shared" si="6"/>
        <v>157</v>
      </c>
      <c r="K149" s="83" t="s">
        <v>346</v>
      </c>
      <c r="L149" s="26">
        <f t="shared" si="5"/>
        <v>0</v>
      </c>
    </row>
    <row r="150" spans="1:12" x14ac:dyDescent="0.35">
      <c r="A150" s="84" t="s">
        <v>463</v>
      </c>
      <c r="B150" s="84" t="s">
        <v>345</v>
      </c>
      <c r="C150" s="240">
        <v>7135135.1399999997</v>
      </c>
      <c r="D150" s="84" t="s">
        <v>463</v>
      </c>
      <c r="E150" s="84" t="s">
        <v>345</v>
      </c>
      <c r="F150" s="240">
        <v>7135135.1399999997</v>
      </c>
      <c r="G150" s="84" t="s">
        <v>463</v>
      </c>
      <c r="H150" s="84" t="s">
        <v>345</v>
      </c>
      <c r="I150" s="236">
        <v>27760909.100000001</v>
      </c>
      <c r="J150" t="str">
        <f t="shared" si="6"/>
        <v>157</v>
      </c>
      <c r="K150" s="83" t="s">
        <v>346</v>
      </c>
      <c r="L150" s="26">
        <f t="shared" si="5"/>
        <v>0</v>
      </c>
    </row>
    <row r="151" spans="1:12" x14ac:dyDescent="0.35">
      <c r="A151" s="80" t="s">
        <v>464</v>
      </c>
      <c r="B151" s="80" t="s">
        <v>465</v>
      </c>
      <c r="C151" s="241">
        <v>227950</v>
      </c>
      <c r="D151" s="80" t="s">
        <v>464</v>
      </c>
      <c r="E151" s="80" t="s">
        <v>465</v>
      </c>
      <c r="F151" s="241">
        <v>227950</v>
      </c>
      <c r="G151" s="80" t="s">
        <v>464</v>
      </c>
      <c r="H151" s="80" t="s">
        <v>465</v>
      </c>
      <c r="I151" s="235">
        <v>194820</v>
      </c>
      <c r="J151" t="str">
        <f t="shared" si="6"/>
        <v>157</v>
      </c>
      <c r="K151" s="83" t="s">
        <v>346</v>
      </c>
      <c r="L151" s="26">
        <f t="shared" si="5"/>
        <v>0</v>
      </c>
    </row>
    <row r="152" spans="1:12" x14ac:dyDescent="0.35">
      <c r="A152" s="80" t="s">
        <v>466</v>
      </c>
      <c r="B152" s="80" t="s">
        <v>467</v>
      </c>
      <c r="C152" s="241">
        <v>226047296.22999999</v>
      </c>
      <c r="D152" s="80" t="s">
        <v>466</v>
      </c>
      <c r="E152" s="80" t="s">
        <v>467</v>
      </c>
      <c r="F152" s="241">
        <v>226047296.22999999</v>
      </c>
      <c r="G152" s="80" t="s">
        <v>466</v>
      </c>
      <c r="H152" s="80" t="s">
        <v>467</v>
      </c>
      <c r="I152" s="235">
        <v>179880939.16</v>
      </c>
      <c r="J152" t="str">
        <f t="shared" si="6"/>
        <v>200</v>
      </c>
      <c r="K152" s="83" t="s">
        <v>210</v>
      </c>
      <c r="L152" s="26">
        <f>C152-F152</f>
        <v>0</v>
      </c>
    </row>
    <row r="153" spans="1:12" x14ac:dyDescent="0.35">
      <c r="A153" s="84" t="s">
        <v>468</v>
      </c>
      <c r="B153" s="84" t="s">
        <v>469</v>
      </c>
      <c r="C153" s="240">
        <v>795128.92</v>
      </c>
      <c r="D153" s="84" t="s">
        <v>468</v>
      </c>
      <c r="E153" s="84" t="s">
        <v>469</v>
      </c>
      <c r="F153" s="240">
        <v>795128.92</v>
      </c>
      <c r="G153" s="84" t="s">
        <v>468</v>
      </c>
      <c r="H153" s="84" t="s">
        <v>469</v>
      </c>
      <c r="I153" s="236">
        <v>648496.18000000005</v>
      </c>
      <c r="J153" t="str">
        <f t="shared" si="6"/>
        <v>200</v>
      </c>
      <c r="K153" s="83" t="s">
        <v>210</v>
      </c>
      <c r="L153" s="26">
        <f t="shared" ref="L153:L217" si="7">C153-F153</f>
        <v>0</v>
      </c>
    </row>
    <row r="154" spans="1:12" x14ac:dyDescent="0.35">
      <c r="A154" s="80" t="s">
        <v>470</v>
      </c>
      <c r="B154" s="80" t="s">
        <v>471</v>
      </c>
      <c r="C154" s="241">
        <v>176831325.15000001</v>
      </c>
      <c r="D154" s="80" t="s">
        <v>470</v>
      </c>
      <c r="E154" s="80" t="s">
        <v>471</v>
      </c>
      <c r="F154" s="241">
        <v>176831325.15000001</v>
      </c>
      <c r="G154" s="80" t="s">
        <v>470</v>
      </c>
      <c r="H154" s="80" t="s">
        <v>471</v>
      </c>
      <c r="I154" s="235">
        <v>219579126.31999999</v>
      </c>
      <c r="J154" t="str">
        <f t="shared" si="6"/>
        <v>200</v>
      </c>
      <c r="K154" s="83" t="s">
        <v>210</v>
      </c>
      <c r="L154" s="26">
        <f t="shared" si="7"/>
        <v>0</v>
      </c>
    </row>
    <row r="155" spans="1:12" x14ac:dyDescent="0.35">
      <c r="A155" s="84" t="s">
        <v>472</v>
      </c>
      <c r="B155" s="84" t="s">
        <v>473</v>
      </c>
      <c r="C155" s="240">
        <v>75112.14</v>
      </c>
      <c r="D155" s="84" t="s">
        <v>472</v>
      </c>
      <c r="E155" s="84" t="s">
        <v>473</v>
      </c>
      <c r="F155" s="240">
        <v>75112.14</v>
      </c>
      <c r="G155" s="84" t="s">
        <v>472</v>
      </c>
      <c r="H155" s="84" t="s">
        <v>473</v>
      </c>
      <c r="I155" s="236">
        <v>14069.05</v>
      </c>
      <c r="J155" t="str">
        <f t="shared" si="6"/>
        <v>200</v>
      </c>
      <c r="K155" s="83" t="s">
        <v>210</v>
      </c>
      <c r="L155" s="26">
        <f t="shared" si="7"/>
        <v>0</v>
      </c>
    </row>
    <row r="156" spans="1:12" x14ac:dyDescent="0.35">
      <c r="A156" s="80" t="s">
        <v>474</v>
      </c>
      <c r="B156" s="80" t="s">
        <v>475</v>
      </c>
      <c r="C156" s="241">
        <v>13070.67</v>
      </c>
      <c r="D156" s="80" t="s">
        <v>474</v>
      </c>
      <c r="E156" s="80" t="s">
        <v>475</v>
      </c>
      <c r="F156" s="241">
        <v>13070.67</v>
      </c>
      <c r="G156" s="80" t="s">
        <v>474</v>
      </c>
      <c r="H156" s="80" t="s">
        <v>475</v>
      </c>
      <c r="I156" s="235">
        <v>16880.21</v>
      </c>
      <c r="J156" t="str">
        <f t="shared" si="6"/>
        <v>200</v>
      </c>
      <c r="K156" s="83" t="s">
        <v>210</v>
      </c>
      <c r="L156" s="26">
        <f t="shared" si="7"/>
        <v>0</v>
      </c>
    </row>
    <row r="157" spans="1:12" x14ac:dyDescent="0.35">
      <c r="A157" s="84" t="s">
        <v>476</v>
      </c>
      <c r="B157" s="84" t="s">
        <v>477</v>
      </c>
      <c r="C157" s="240">
        <v>12266758.51</v>
      </c>
      <c r="D157" s="84" t="s">
        <v>476</v>
      </c>
      <c r="E157" s="84" t="s">
        <v>477</v>
      </c>
      <c r="F157" s="240">
        <v>12266758.51</v>
      </c>
      <c r="G157" s="84" t="s">
        <v>476</v>
      </c>
      <c r="H157" s="84" t="s">
        <v>477</v>
      </c>
      <c r="I157" s="236">
        <v>7518406.6600000001</v>
      </c>
      <c r="J157" t="str">
        <f t="shared" si="6"/>
        <v>200</v>
      </c>
      <c r="K157" s="83" t="s">
        <v>210</v>
      </c>
      <c r="L157" s="26">
        <f t="shared" si="7"/>
        <v>0</v>
      </c>
    </row>
    <row r="158" spans="1:12" x14ac:dyDescent="0.35">
      <c r="A158" s="80" t="s">
        <v>478</v>
      </c>
      <c r="B158" s="80" t="s">
        <v>479</v>
      </c>
      <c r="C158" s="241">
        <v>502.9</v>
      </c>
      <c r="D158" s="80" t="s">
        <v>478</v>
      </c>
      <c r="E158" s="80" t="s">
        <v>479</v>
      </c>
      <c r="F158" s="241">
        <v>502.9</v>
      </c>
      <c r="G158" s="80" t="s">
        <v>478</v>
      </c>
      <c r="H158" s="80" t="s">
        <v>479</v>
      </c>
      <c r="I158" s="235">
        <v>99.19</v>
      </c>
      <c r="J158" t="str">
        <f t="shared" si="6"/>
        <v>200</v>
      </c>
      <c r="K158" s="83" t="s">
        <v>210</v>
      </c>
      <c r="L158" s="26">
        <f t="shared" si="7"/>
        <v>0</v>
      </c>
    </row>
    <row r="159" spans="1:12" x14ac:dyDescent="0.35">
      <c r="A159" s="84" t="s">
        <v>480</v>
      </c>
      <c r="B159" s="84" t="s">
        <v>481</v>
      </c>
      <c r="C159" s="240">
        <v>448148.8</v>
      </c>
      <c r="D159" s="84" t="s">
        <v>480</v>
      </c>
      <c r="E159" s="84" t="s">
        <v>481</v>
      </c>
      <c r="F159" s="240">
        <v>448148.8</v>
      </c>
      <c r="G159" s="84" t="s">
        <v>480</v>
      </c>
      <c r="H159" s="84" t="s">
        <v>481</v>
      </c>
      <c r="I159" s="236">
        <v>98614.93</v>
      </c>
      <c r="J159" t="str">
        <f t="shared" si="6"/>
        <v>200</v>
      </c>
      <c r="K159" s="83" t="s">
        <v>210</v>
      </c>
      <c r="L159" s="26">
        <f t="shared" si="7"/>
        <v>0</v>
      </c>
    </row>
    <row r="160" spans="1:12" x14ac:dyDescent="0.35">
      <c r="A160" s="80" t="s">
        <v>482</v>
      </c>
      <c r="B160" s="80" t="s">
        <v>483</v>
      </c>
      <c r="C160" s="241">
        <v>0.85</v>
      </c>
      <c r="D160" s="80" t="s">
        <v>482</v>
      </c>
      <c r="E160" s="80" t="s">
        <v>483</v>
      </c>
      <c r="F160" s="241">
        <v>0.85</v>
      </c>
      <c r="G160" s="80" t="s">
        <v>482</v>
      </c>
      <c r="H160" s="80" t="s">
        <v>483</v>
      </c>
      <c r="I160" s="235">
        <v>0.85</v>
      </c>
      <c r="J160" t="str">
        <f t="shared" si="6"/>
        <v>200</v>
      </c>
      <c r="K160" s="83" t="s">
        <v>210</v>
      </c>
      <c r="L160" s="26">
        <f t="shared" si="7"/>
        <v>0</v>
      </c>
    </row>
    <row r="161" spans="1:12" x14ac:dyDescent="0.35">
      <c r="A161" s="84" t="s">
        <v>484</v>
      </c>
      <c r="B161" s="84" t="s">
        <v>485</v>
      </c>
      <c r="C161" s="240">
        <v>28356.01</v>
      </c>
      <c r="D161" s="84" t="s">
        <v>484</v>
      </c>
      <c r="E161" s="84" t="s">
        <v>485</v>
      </c>
      <c r="F161" s="240">
        <v>28356.01</v>
      </c>
      <c r="G161" s="84" t="s">
        <v>484</v>
      </c>
      <c r="H161" s="84" t="s">
        <v>485</v>
      </c>
      <c r="I161" s="236">
        <v>4130.21</v>
      </c>
      <c r="J161" t="str">
        <f t="shared" si="6"/>
        <v>200</v>
      </c>
      <c r="K161" s="83" t="s">
        <v>210</v>
      </c>
      <c r="L161" s="26">
        <f t="shared" si="7"/>
        <v>0</v>
      </c>
    </row>
    <row r="162" spans="1:12" x14ac:dyDescent="0.35">
      <c r="A162" s="80" t="s">
        <v>486</v>
      </c>
      <c r="B162" s="80" t="s">
        <v>487</v>
      </c>
      <c r="C162" s="241">
        <v>16413.400000000001</v>
      </c>
      <c r="D162" s="80" t="s">
        <v>486</v>
      </c>
      <c r="E162" s="80" t="s">
        <v>487</v>
      </c>
      <c r="F162" s="241">
        <v>16413.400000000001</v>
      </c>
      <c r="G162" s="80" t="s">
        <v>486</v>
      </c>
      <c r="H162" s="80" t="s">
        <v>487</v>
      </c>
      <c r="I162" s="235">
        <v>16950.86</v>
      </c>
      <c r="J162" t="str">
        <f t="shared" si="6"/>
        <v>200</v>
      </c>
      <c r="K162" s="83" t="s">
        <v>210</v>
      </c>
      <c r="L162" s="26">
        <f t="shared" si="7"/>
        <v>0</v>
      </c>
    </row>
    <row r="163" spans="1:12" x14ac:dyDescent="0.35">
      <c r="A163" s="84" t="s">
        <v>488</v>
      </c>
      <c r="B163" s="84" t="s">
        <v>489</v>
      </c>
      <c r="C163" s="240">
        <v>189924.67</v>
      </c>
      <c r="D163" s="84" t="s">
        <v>488</v>
      </c>
      <c r="E163" s="84" t="s">
        <v>489</v>
      </c>
      <c r="F163" s="240">
        <v>189924.67</v>
      </c>
      <c r="G163" s="84" t="s">
        <v>488</v>
      </c>
      <c r="H163" s="84" t="s">
        <v>489</v>
      </c>
      <c r="I163" s="236">
        <v>193180.78</v>
      </c>
      <c r="J163" t="str">
        <f t="shared" si="6"/>
        <v>200</v>
      </c>
      <c r="K163" s="83" t="s">
        <v>210</v>
      </c>
      <c r="L163" s="26">
        <f t="shared" si="7"/>
        <v>0</v>
      </c>
    </row>
    <row r="164" spans="1:12" x14ac:dyDescent="0.35">
      <c r="A164" s="80" t="s">
        <v>490</v>
      </c>
      <c r="B164" s="80" t="s">
        <v>491</v>
      </c>
      <c r="C164" s="241">
        <v>2399.9</v>
      </c>
      <c r="D164" s="80" t="s">
        <v>490</v>
      </c>
      <c r="E164" s="80" t="s">
        <v>491</v>
      </c>
      <c r="F164" s="241">
        <v>2399.9</v>
      </c>
      <c r="G164" s="80" t="s">
        <v>490</v>
      </c>
      <c r="H164" s="80" t="s">
        <v>491</v>
      </c>
      <c r="I164" s="235">
        <v>45.9</v>
      </c>
      <c r="J164" t="str">
        <f t="shared" si="6"/>
        <v>200</v>
      </c>
      <c r="K164" s="83" t="s">
        <v>210</v>
      </c>
      <c r="L164" s="26">
        <f t="shared" si="7"/>
        <v>0</v>
      </c>
    </row>
    <row r="165" spans="1:12" x14ac:dyDescent="0.35">
      <c r="A165" s="84" t="s">
        <v>492</v>
      </c>
      <c r="B165" s="84" t="s">
        <v>493</v>
      </c>
      <c r="C165" s="240">
        <v>4200.13</v>
      </c>
      <c r="D165" s="84" t="s">
        <v>492</v>
      </c>
      <c r="E165" s="84" t="s">
        <v>493</v>
      </c>
      <c r="F165" s="240">
        <v>4200.13</v>
      </c>
      <c r="G165" s="84" t="s">
        <v>492</v>
      </c>
      <c r="H165" s="84" t="s">
        <v>493</v>
      </c>
      <c r="I165" s="236">
        <v>4256.01</v>
      </c>
      <c r="J165" t="str">
        <f t="shared" si="6"/>
        <v>200</v>
      </c>
      <c r="K165" s="83" t="s">
        <v>210</v>
      </c>
      <c r="L165" s="26">
        <f t="shared" si="7"/>
        <v>0</v>
      </c>
    </row>
    <row r="166" spans="1:12" x14ac:dyDescent="0.35">
      <c r="A166" s="80" t="s">
        <v>494</v>
      </c>
      <c r="B166" s="80" t="s">
        <v>495</v>
      </c>
      <c r="C166" s="241">
        <v>328134201.20999998</v>
      </c>
      <c r="D166" s="80" t="s">
        <v>494</v>
      </c>
      <c r="E166" s="80" t="s">
        <v>495</v>
      </c>
      <c r="F166" s="241">
        <v>328134201.20999998</v>
      </c>
      <c r="G166" s="80" t="s">
        <v>494</v>
      </c>
      <c r="H166" s="80" t="s">
        <v>495</v>
      </c>
      <c r="I166" s="235">
        <v>269938067.88</v>
      </c>
      <c r="J166" t="str">
        <f t="shared" si="6"/>
        <v>200</v>
      </c>
      <c r="K166" s="83" t="s">
        <v>210</v>
      </c>
      <c r="L166" s="26">
        <f t="shared" si="7"/>
        <v>0</v>
      </c>
    </row>
    <row r="167" spans="1:12" x14ac:dyDescent="0.35">
      <c r="A167" s="80" t="s">
        <v>496</v>
      </c>
      <c r="B167" s="80" t="s">
        <v>497</v>
      </c>
      <c r="C167" s="241">
        <v>162026337.38</v>
      </c>
      <c r="D167" s="80" t="s">
        <v>496</v>
      </c>
      <c r="E167" s="80" t="s">
        <v>497</v>
      </c>
      <c r="F167" s="241">
        <v>162026337.38</v>
      </c>
      <c r="G167" s="80" t="s">
        <v>496</v>
      </c>
      <c r="H167" s="80" t="s">
        <v>497</v>
      </c>
      <c r="I167" s="235">
        <v>112414500.52</v>
      </c>
      <c r="J167" t="str">
        <f t="shared" si="6"/>
        <v>201</v>
      </c>
      <c r="K167" s="83" t="s">
        <v>305</v>
      </c>
      <c r="L167" s="26">
        <f t="shared" si="7"/>
        <v>0</v>
      </c>
    </row>
    <row r="168" spans="1:12" x14ac:dyDescent="0.35">
      <c r="A168" s="84" t="s">
        <v>498</v>
      </c>
      <c r="B168" s="84" t="s">
        <v>499</v>
      </c>
      <c r="C168" s="240">
        <v>122501696.44</v>
      </c>
      <c r="D168" s="84" t="s">
        <v>498</v>
      </c>
      <c r="E168" s="84" t="s">
        <v>499</v>
      </c>
      <c r="F168" s="240">
        <v>122501696.44</v>
      </c>
      <c r="G168" s="84" t="s">
        <v>498</v>
      </c>
      <c r="H168" s="84" t="s">
        <v>499</v>
      </c>
      <c r="I168" s="236">
        <v>96622461.319999993</v>
      </c>
      <c r="J168" t="str">
        <f t="shared" si="6"/>
        <v>201</v>
      </c>
      <c r="K168" s="83" t="s">
        <v>444</v>
      </c>
      <c r="L168" s="26">
        <f t="shared" si="7"/>
        <v>0</v>
      </c>
    </row>
    <row r="169" spans="1:12" x14ac:dyDescent="0.35">
      <c r="A169" s="84" t="s">
        <v>500</v>
      </c>
      <c r="B169" s="84" t="s">
        <v>501</v>
      </c>
      <c r="C169" s="240">
        <v>26101973.91</v>
      </c>
      <c r="D169" s="84" t="s">
        <v>500</v>
      </c>
      <c r="E169" s="84" t="s">
        <v>501</v>
      </c>
      <c r="F169" s="240">
        <v>26101973.91</v>
      </c>
      <c r="G169" s="84" t="s">
        <v>500</v>
      </c>
      <c r="H169" s="84" t="s">
        <v>501</v>
      </c>
      <c r="I169" s="236">
        <v>26201953.789999999</v>
      </c>
      <c r="J169" t="str">
        <f t="shared" si="6"/>
        <v>202</v>
      </c>
      <c r="K169" s="83" t="s">
        <v>305</v>
      </c>
      <c r="L169" s="26">
        <f t="shared" si="7"/>
        <v>0</v>
      </c>
    </row>
    <row r="170" spans="1:12" x14ac:dyDescent="0.35">
      <c r="A170" s="80" t="s">
        <v>502</v>
      </c>
      <c r="B170" s="80" t="s">
        <v>503</v>
      </c>
      <c r="C170" s="241">
        <v>11113876.33</v>
      </c>
      <c r="D170" s="80" t="s">
        <v>502</v>
      </c>
      <c r="E170" s="80" t="s">
        <v>503</v>
      </c>
      <c r="F170" s="241">
        <v>11113876.33</v>
      </c>
      <c r="G170" s="80" t="s">
        <v>502</v>
      </c>
      <c r="H170" s="80" t="s">
        <v>503</v>
      </c>
      <c r="I170" s="235">
        <v>10885934.43</v>
      </c>
      <c r="J170" t="str">
        <f t="shared" si="6"/>
        <v>202</v>
      </c>
      <c r="K170" s="83" t="s">
        <v>305</v>
      </c>
      <c r="L170" s="26">
        <f t="shared" si="7"/>
        <v>0</v>
      </c>
    </row>
    <row r="171" spans="1:12" x14ac:dyDescent="0.35">
      <c r="A171" s="84" t="s">
        <v>504</v>
      </c>
      <c r="B171" s="84" t="s">
        <v>505</v>
      </c>
      <c r="C171" s="240">
        <v>6709625.3300000001</v>
      </c>
      <c r="D171" s="84" t="s">
        <v>504</v>
      </c>
      <c r="E171" s="84" t="s">
        <v>505</v>
      </c>
      <c r="F171" s="240">
        <v>6709625.3300000001</v>
      </c>
      <c r="G171" s="84" t="s">
        <v>504</v>
      </c>
      <c r="H171" s="84" t="s">
        <v>505</v>
      </c>
      <c r="I171" s="236">
        <v>6088425.4400000004</v>
      </c>
      <c r="J171" t="str">
        <f t="shared" si="6"/>
        <v>202</v>
      </c>
      <c r="K171" s="83" t="s">
        <v>305</v>
      </c>
      <c r="L171" s="26">
        <f t="shared" si="7"/>
        <v>0</v>
      </c>
    </row>
    <row r="172" spans="1:12" x14ac:dyDescent="0.35">
      <c r="A172" s="80" t="s">
        <v>506</v>
      </c>
      <c r="B172" s="80" t="s">
        <v>507</v>
      </c>
      <c r="C172" s="241">
        <v>769186.16</v>
      </c>
      <c r="D172" s="80" t="s">
        <v>506</v>
      </c>
      <c r="E172" s="80" t="s">
        <v>507</v>
      </c>
      <c r="F172" s="241">
        <v>769186.16</v>
      </c>
      <c r="G172" s="80" t="s">
        <v>506</v>
      </c>
      <c r="H172" s="80" t="s">
        <v>507</v>
      </c>
      <c r="I172" s="235">
        <v>760584.2</v>
      </c>
      <c r="J172" t="str">
        <f t="shared" si="6"/>
        <v>202</v>
      </c>
      <c r="K172" s="83" t="s">
        <v>305</v>
      </c>
      <c r="L172" s="26">
        <f t="shared" si="7"/>
        <v>0</v>
      </c>
    </row>
    <row r="173" spans="1:12" x14ac:dyDescent="0.35">
      <c r="A173" s="84" t="s">
        <v>508</v>
      </c>
      <c r="B173" s="84" t="s">
        <v>509</v>
      </c>
      <c r="C173" s="240">
        <v>496596.52</v>
      </c>
      <c r="D173" s="84" t="s">
        <v>508</v>
      </c>
      <c r="E173" s="84" t="s">
        <v>509</v>
      </c>
      <c r="F173" s="240">
        <v>496596.52</v>
      </c>
      <c r="G173" s="84" t="s">
        <v>508</v>
      </c>
      <c r="H173" s="84" t="s">
        <v>509</v>
      </c>
      <c r="I173" s="236">
        <v>370991.04</v>
      </c>
      <c r="J173" t="str">
        <f t="shared" si="6"/>
        <v>202</v>
      </c>
      <c r="K173" s="83" t="s">
        <v>305</v>
      </c>
      <c r="L173" s="26">
        <f t="shared" si="7"/>
        <v>0</v>
      </c>
    </row>
    <row r="174" spans="1:12" x14ac:dyDescent="0.35">
      <c r="A174" s="80" t="s">
        <v>510</v>
      </c>
      <c r="B174" s="80" t="s">
        <v>905</v>
      </c>
      <c r="C174" s="241">
        <v>0</v>
      </c>
      <c r="D174" s="80" t="s">
        <v>510</v>
      </c>
      <c r="E174" s="80" t="s">
        <v>905</v>
      </c>
      <c r="F174" s="241">
        <v>0</v>
      </c>
      <c r="G174" s="80" t="s">
        <v>510</v>
      </c>
      <c r="H174" s="80" t="s">
        <v>511</v>
      </c>
      <c r="I174" s="235">
        <v>0</v>
      </c>
      <c r="J174" t="str">
        <f t="shared" ref="J174" si="8">LEFT(A174,3)</f>
        <v>202</v>
      </c>
      <c r="K174" s="83" t="s">
        <v>904</v>
      </c>
      <c r="L174" s="26">
        <f t="shared" ref="L174" si="9">C174-F174</f>
        <v>0</v>
      </c>
    </row>
    <row r="175" spans="1:12" x14ac:dyDescent="0.35">
      <c r="A175" s="80" t="s">
        <v>510</v>
      </c>
      <c r="B175" s="80" t="s">
        <v>511</v>
      </c>
      <c r="C175" s="241">
        <v>40073892.640000001</v>
      </c>
      <c r="D175" s="80" t="s">
        <v>510</v>
      </c>
      <c r="E175" s="80" t="s">
        <v>511</v>
      </c>
      <c r="F175" s="241">
        <v>40073892.640000001</v>
      </c>
      <c r="G175" s="80" t="s">
        <v>510</v>
      </c>
      <c r="H175" s="80" t="s">
        <v>511</v>
      </c>
      <c r="I175" s="235">
        <f>38475999.9</f>
        <v>38475999.899999999</v>
      </c>
      <c r="J175" t="str">
        <f t="shared" si="6"/>
        <v>202</v>
      </c>
      <c r="K175" s="83" t="s">
        <v>305</v>
      </c>
      <c r="L175" s="26">
        <f t="shared" si="7"/>
        <v>0</v>
      </c>
    </row>
    <row r="176" spans="1:12" x14ac:dyDescent="0.35">
      <c r="A176" s="84" t="s">
        <v>512</v>
      </c>
      <c r="B176" s="84" t="s">
        <v>513</v>
      </c>
      <c r="C176" s="240">
        <v>465164.06</v>
      </c>
      <c r="D176" s="84" t="s">
        <v>512</v>
      </c>
      <c r="E176" s="84" t="s">
        <v>513</v>
      </c>
      <c r="F176" s="240">
        <v>465164.06</v>
      </c>
      <c r="G176" s="84" t="s">
        <v>512</v>
      </c>
      <c r="H176" s="84" t="s">
        <v>513</v>
      </c>
      <c r="I176" s="236">
        <v>468149.9</v>
      </c>
      <c r="J176" t="str">
        <f t="shared" si="6"/>
        <v>202</v>
      </c>
      <c r="K176" s="83" t="s">
        <v>305</v>
      </c>
      <c r="L176" s="26">
        <f t="shared" si="7"/>
        <v>0</v>
      </c>
    </row>
    <row r="177" spans="1:12" x14ac:dyDescent="0.35">
      <c r="A177" s="80" t="s">
        <v>514</v>
      </c>
      <c r="B177" s="80" t="s">
        <v>515</v>
      </c>
      <c r="C177" s="241">
        <v>81906.3</v>
      </c>
      <c r="D177" s="80" t="s">
        <v>514</v>
      </c>
      <c r="E177" s="80" t="s">
        <v>515</v>
      </c>
      <c r="F177" s="241">
        <v>81906.3</v>
      </c>
      <c r="G177" s="80" t="s">
        <v>514</v>
      </c>
      <c r="H177" s="80" t="s">
        <v>515</v>
      </c>
      <c r="I177" s="235">
        <v>85859.35</v>
      </c>
      <c r="J177" t="str">
        <f t="shared" si="6"/>
        <v>202</v>
      </c>
      <c r="K177" s="83" t="s">
        <v>305</v>
      </c>
      <c r="L177" s="26">
        <f t="shared" si="7"/>
        <v>0</v>
      </c>
    </row>
    <row r="178" spans="1:12" x14ac:dyDescent="0.35">
      <c r="A178" s="84" t="s">
        <v>516</v>
      </c>
      <c r="B178" s="84" t="s">
        <v>517</v>
      </c>
      <c r="C178" s="240">
        <v>189621815.05000001</v>
      </c>
      <c r="D178" s="84" t="s">
        <v>516</v>
      </c>
      <c r="E178" s="84" t="s">
        <v>517</v>
      </c>
      <c r="F178" s="240">
        <v>189621815.05000001</v>
      </c>
      <c r="G178" s="84" t="s">
        <v>516</v>
      </c>
      <c r="H178" s="84" t="s">
        <v>517</v>
      </c>
      <c r="I178" s="236">
        <v>175119919.84</v>
      </c>
      <c r="J178" t="str">
        <f t="shared" si="6"/>
        <v>203</v>
      </c>
      <c r="K178" s="83" t="s">
        <v>305</v>
      </c>
      <c r="L178" s="26">
        <f t="shared" si="7"/>
        <v>0</v>
      </c>
    </row>
    <row r="179" spans="1:12" x14ac:dyDescent="0.35">
      <c r="A179" s="80" t="s">
        <v>518</v>
      </c>
      <c r="B179" s="80" t="s">
        <v>519</v>
      </c>
      <c r="C179" s="241">
        <v>184878561.49000001</v>
      </c>
      <c r="D179" s="80" t="s">
        <v>518</v>
      </c>
      <c r="E179" s="80" t="s">
        <v>519</v>
      </c>
      <c r="F179" s="241">
        <v>184878561.49000001</v>
      </c>
      <c r="G179" s="80" t="s">
        <v>518</v>
      </c>
      <c r="H179" s="80" t="s">
        <v>519</v>
      </c>
      <c r="I179" s="235">
        <v>162817532.22999999</v>
      </c>
      <c r="J179" t="str">
        <f t="shared" si="6"/>
        <v>203</v>
      </c>
      <c r="K179" s="83" t="s">
        <v>305</v>
      </c>
      <c r="L179" s="26">
        <f t="shared" si="7"/>
        <v>0</v>
      </c>
    </row>
    <row r="180" spans="1:12" x14ac:dyDescent="0.35">
      <c r="A180" s="84" t="s">
        <v>520</v>
      </c>
      <c r="B180" s="84" t="s">
        <v>521</v>
      </c>
      <c r="C180" s="240">
        <v>29473865.129999999</v>
      </c>
      <c r="D180" s="84" t="s">
        <v>520</v>
      </c>
      <c r="E180" s="84" t="s">
        <v>521</v>
      </c>
      <c r="F180" s="240">
        <v>29473865.129999999</v>
      </c>
      <c r="G180" s="84" t="s">
        <v>520</v>
      </c>
      <c r="H180" s="84" t="s">
        <v>521</v>
      </c>
      <c r="I180" s="236">
        <v>27160523.969999999</v>
      </c>
      <c r="J180" t="str">
        <f t="shared" si="6"/>
        <v>203</v>
      </c>
      <c r="K180" s="83" t="s">
        <v>305</v>
      </c>
      <c r="L180" s="26">
        <f t="shared" si="7"/>
        <v>0</v>
      </c>
    </row>
    <row r="181" spans="1:12" x14ac:dyDescent="0.35">
      <c r="A181" s="80" t="s">
        <v>522</v>
      </c>
      <c r="B181" s="80" t="s">
        <v>523</v>
      </c>
      <c r="C181" s="241">
        <v>66082193.439999998</v>
      </c>
      <c r="D181" s="80" t="s">
        <v>522</v>
      </c>
      <c r="E181" s="80" t="s">
        <v>523</v>
      </c>
      <c r="F181" s="241">
        <v>66082193.439999998</v>
      </c>
      <c r="G181" s="80" t="s">
        <v>522</v>
      </c>
      <c r="H181" s="80" t="s">
        <v>523</v>
      </c>
      <c r="I181" s="235">
        <v>61750762.020000003</v>
      </c>
      <c r="J181" t="str">
        <f t="shared" si="6"/>
        <v>203</v>
      </c>
      <c r="K181" s="83" t="s">
        <v>305</v>
      </c>
      <c r="L181" s="26">
        <f t="shared" si="7"/>
        <v>0</v>
      </c>
    </row>
    <row r="182" spans="1:12" x14ac:dyDescent="0.35">
      <c r="A182" s="84" t="s">
        <v>524</v>
      </c>
      <c r="B182" s="84" t="s">
        <v>525</v>
      </c>
      <c r="C182" s="240">
        <v>349529.84</v>
      </c>
      <c r="D182" s="84" t="s">
        <v>524</v>
      </c>
      <c r="E182" s="84" t="s">
        <v>525</v>
      </c>
      <c r="F182" s="240">
        <v>349529.84</v>
      </c>
      <c r="G182" s="84" t="s">
        <v>524</v>
      </c>
      <c r="H182" s="84" t="s">
        <v>525</v>
      </c>
      <c r="I182" s="236">
        <v>312100.71000000002</v>
      </c>
      <c r="J182" t="str">
        <f t="shared" si="6"/>
        <v>203</v>
      </c>
      <c r="K182" s="83" t="s">
        <v>305</v>
      </c>
      <c r="L182" s="26">
        <f t="shared" si="7"/>
        <v>0</v>
      </c>
    </row>
    <row r="183" spans="1:12" x14ac:dyDescent="0.35">
      <c r="A183" s="80" t="s">
        <v>526</v>
      </c>
      <c r="B183" s="80" t="s">
        <v>527</v>
      </c>
      <c r="C183" s="241">
        <v>3849730.74</v>
      </c>
      <c r="D183" s="80" t="s">
        <v>526</v>
      </c>
      <c r="E183" s="80" t="s">
        <v>527</v>
      </c>
      <c r="F183" s="241">
        <v>3849730.74</v>
      </c>
      <c r="G183" s="80" t="s">
        <v>526</v>
      </c>
      <c r="H183" s="80" t="s">
        <v>527</v>
      </c>
      <c r="I183" s="235">
        <v>3772124.61</v>
      </c>
      <c r="J183" t="str">
        <f t="shared" si="6"/>
        <v>203</v>
      </c>
      <c r="K183" s="83" t="s">
        <v>305</v>
      </c>
      <c r="L183" s="26">
        <f t="shared" si="7"/>
        <v>0</v>
      </c>
    </row>
    <row r="184" spans="1:12" x14ac:dyDescent="0.35">
      <c r="A184" s="84" t="s">
        <v>528</v>
      </c>
      <c r="B184" s="84" t="s">
        <v>529</v>
      </c>
      <c r="C184" s="240">
        <v>3999947.34</v>
      </c>
      <c r="D184" s="84" t="s">
        <v>528</v>
      </c>
      <c r="E184" s="84" t="s">
        <v>529</v>
      </c>
      <c r="F184" s="240">
        <v>3999947.34</v>
      </c>
      <c r="G184" s="84" t="s">
        <v>528</v>
      </c>
      <c r="H184" s="84" t="s">
        <v>529</v>
      </c>
      <c r="I184" s="236">
        <v>3347723.82</v>
      </c>
      <c r="J184" t="str">
        <f t="shared" si="6"/>
        <v>203</v>
      </c>
      <c r="K184" s="83" t="s">
        <v>305</v>
      </c>
      <c r="L184" s="26">
        <f t="shared" si="7"/>
        <v>0</v>
      </c>
    </row>
    <row r="185" spans="1:12" x14ac:dyDescent="0.35">
      <c r="A185" s="80" t="s">
        <v>530</v>
      </c>
      <c r="B185" s="80" t="s">
        <v>531</v>
      </c>
      <c r="C185" s="241">
        <v>5071625.13</v>
      </c>
      <c r="D185" s="80" t="s">
        <v>530</v>
      </c>
      <c r="E185" s="80" t="s">
        <v>531</v>
      </c>
      <c r="F185" s="241">
        <v>5071625.13</v>
      </c>
      <c r="G185" s="80" t="s">
        <v>530</v>
      </c>
      <c r="H185" s="80" t="s">
        <v>531</v>
      </c>
      <c r="I185" s="235">
        <v>4039715.01</v>
      </c>
      <c r="J185" t="str">
        <f t="shared" si="6"/>
        <v>203</v>
      </c>
      <c r="K185" s="83" t="s">
        <v>305</v>
      </c>
      <c r="L185" s="26">
        <f t="shared" si="7"/>
        <v>0</v>
      </c>
    </row>
    <row r="186" spans="1:12" x14ac:dyDescent="0.35">
      <c r="A186" s="84" t="s">
        <v>532</v>
      </c>
      <c r="B186" s="84" t="s">
        <v>533</v>
      </c>
      <c r="C186" s="240">
        <v>353613.5</v>
      </c>
      <c r="D186" s="84" t="s">
        <v>532</v>
      </c>
      <c r="E186" s="84" t="s">
        <v>533</v>
      </c>
      <c r="F186" s="240">
        <v>353613.5</v>
      </c>
      <c r="G186" s="84" t="s">
        <v>532</v>
      </c>
      <c r="H186" s="84" t="s">
        <v>533</v>
      </c>
      <c r="I186" s="236">
        <v>369860.5</v>
      </c>
      <c r="J186" t="str">
        <f t="shared" si="6"/>
        <v>203</v>
      </c>
      <c r="K186" s="83" t="s">
        <v>305</v>
      </c>
      <c r="L186" s="26">
        <f t="shared" si="7"/>
        <v>0</v>
      </c>
    </row>
    <row r="187" spans="1:12" x14ac:dyDescent="0.35">
      <c r="A187" s="80" t="s">
        <v>534</v>
      </c>
      <c r="B187" s="80" t="s">
        <v>535</v>
      </c>
      <c r="C187" s="241">
        <v>3753548.48</v>
      </c>
      <c r="D187" s="80" t="s">
        <v>534</v>
      </c>
      <c r="E187" s="80" t="s">
        <v>535</v>
      </c>
      <c r="F187" s="241">
        <v>3753548.48</v>
      </c>
      <c r="G187" s="80" t="s">
        <v>534</v>
      </c>
      <c r="H187" s="80" t="s">
        <v>535</v>
      </c>
      <c r="I187" s="235">
        <v>3729289.04</v>
      </c>
      <c r="J187" t="str">
        <f t="shared" si="6"/>
        <v>203</v>
      </c>
      <c r="K187" s="83" t="s">
        <v>305</v>
      </c>
      <c r="L187" s="26">
        <f t="shared" si="7"/>
        <v>0</v>
      </c>
    </row>
    <row r="188" spans="1:12" x14ac:dyDescent="0.35">
      <c r="A188" s="80" t="s">
        <v>536</v>
      </c>
      <c r="B188" s="80" t="s">
        <v>537</v>
      </c>
      <c r="C188" s="241">
        <v>74708818.989999995</v>
      </c>
      <c r="D188" s="80" t="s">
        <v>536</v>
      </c>
      <c r="E188" s="80" t="s">
        <v>537</v>
      </c>
      <c r="F188" s="241">
        <v>74708818.989999995</v>
      </c>
      <c r="G188" s="80" t="s">
        <v>536</v>
      </c>
      <c r="H188" s="80" t="s">
        <v>537</v>
      </c>
      <c r="I188" s="235">
        <v>46335613.890000001</v>
      </c>
      <c r="J188" t="str">
        <f t="shared" si="6"/>
        <v>203</v>
      </c>
      <c r="K188" s="83" t="s">
        <v>305</v>
      </c>
      <c r="L188" s="26">
        <f t="shared" si="7"/>
        <v>0</v>
      </c>
    </row>
    <row r="189" spans="1:12" x14ac:dyDescent="0.35">
      <c r="A189" s="84" t="s">
        <v>538</v>
      </c>
      <c r="B189" s="84" t="s">
        <v>539</v>
      </c>
      <c r="C189" s="240">
        <v>188032.28</v>
      </c>
      <c r="D189" s="84" t="s">
        <v>538</v>
      </c>
      <c r="E189" s="84" t="s">
        <v>539</v>
      </c>
      <c r="F189" s="240">
        <v>188032.28</v>
      </c>
      <c r="G189" s="84" t="s">
        <v>538</v>
      </c>
      <c r="H189" s="84" t="s">
        <v>539</v>
      </c>
      <c r="I189" s="236">
        <v>967219.14</v>
      </c>
      <c r="J189" t="str">
        <f t="shared" si="6"/>
        <v>203</v>
      </c>
      <c r="K189" s="83" t="s">
        <v>305</v>
      </c>
      <c r="L189" s="26">
        <f t="shared" si="7"/>
        <v>0</v>
      </c>
    </row>
    <row r="190" spans="1:12" x14ac:dyDescent="0.35">
      <c r="A190" s="84" t="s">
        <v>540</v>
      </c>
      <c r="B190" s="84" t="s">
        <v>541</v>
      </c>
      <c r="C190" s="240">
        <v>141962078.06999999</v>
      </c>
      <c r="D190" s="84" t="s">
        <v>540</v>
      </c>
      <c r="E190" s="84" t="s">
        <v>541</v>
      </c>
      <c r="F190" s="240">
        <v>141962078.06999999</v>
      </c>
      <c r="G190" s="84" t="s">
        <v>540</v>
      </c>
      <c r="H190" s="84" t="s">
        <v>541</v>
      </c>
      <c r="I190" s="236">
        <v>156109882.91999999</v>
      </c>
      <c r="J190" t="str">
        <f t="shared" si="6"/>
        <v>203</v>
      </c>
      <c r="K190" s="83" t="s">
        <v>305</v>
      </c>
      <c r="L190" s="26">
        <f t="shared" si="7"/>
        <v>0</v>
      </c>
    </row>
    <row r="191" spans="1:12" x14ac:dyDescent="0.35">
      <c r="A191" s="80" t="s">
        <v>542</v>
      </c>
      <c r="B191" s="80" t="s">
        <v>543</v>
      </c>
      <c r="C191" s="241">
        <v>0</v>
      </c>
      <c r="D191" s="80" t="s">
        <v>542</v>
      </c>
      <c r="E191" s="80" t="s">
        <v>543</v>
      </c>
      <c r="F191" s="241">
        <v>0</v>
      </c>
      <c r="G191" s="80" t="s">
        <v>542</v>
      </c>
      <c r="H191" s="80" t="s">
        <v>543</v>
      </c>
      <c r="I191" s="235">
        <v>0</v>
      </c>
      <c r="J191" t="str">
        <f t="shared" si="6"/>
        <v>203</v>
      </c>
      <c r="K191" s="83" t="s">
        <v>305</v>
      </c>
      <c r="L191" s="26">
        <f t="shared" si="7"/>
        <v>0</v>
      </c>
    </row>
    <row r="192" spans="1:12" x14ac:dyDescent="0.35">
      <c r="A192" s="84" t="s">
        <v>544</v>
      </c>
      <c r="B192" s="84" t="s">
        <v>545</v>
      </c>
      <c r="C192" s="241">
        <v>171485163.44999999</v>
      </c>
      <c r="D192" s="84" t="s">
        <v>544</v>
      </c>
      <c r="E192" s="84" t="s">
        <v>545</v>
      </c>
      <c r="F192" s="241">
        <v>171485163.44999999</v>
      </c>
      <c r="G192" s="84" t="s">
        <v>544</v>
      </c>
      <c r="H192" s="84" t="s">
        <v>545</v>
      </c>
      <c r="I192" s="235">
        <v>159694096.06</v>
      </c>
      <c r="J192" t="str">
        <f t="shared" si="6"/>
        <v>203</v>
      </c>
      <c r="K192" s="83" t="s">
        <v>305</v>
      </c>
      <c r="L192" s="26">
        <f t="shared" si="7"/>
        <v>0</v>
      </c>
    </row>
    <row r="193" spans="1:12" x14ac:dyDescent="0.35">
      <c r="A193" s="80" t="s">
        <v>546</v>
      </c>
      <c r="B193" s="80" t="s">
        <v>547</v>
      </c>
      <c r="C193" s="240">
        <v>0</v>
      </c>
      <c r="D193" s="80" t="s">
        <v>546</v>
      </c>
      <c r="E193" s="80" t="s">
        <v>547</v>
      </c>
      <c r="F193" s="240">
        <v>0</v>
      </c>
      <c r="G193" s="80" t="s">
        <v>546</v>
      </c>
      <c r="H193" s="80" t="s">
        <v>547</v>
      </c>
      <c r="I193" s="236">
        <v>0</v>
      </c>
      <c r="J193" t="str">
        <f t="shared" si="6"/>
        <v>203</v>
      </c>
      <c r="K193" s="83" t="s">
        <v>305</v>
      </c>
      <c r="L193" s="26">
        <f t="shared" si="7"/>
        <v>0</v>
      </c>
    </row>
    <row r="194" spans="1:12" x14ac:dyDescent="0.35">
      <c r="A194" s="84" t="s">
        <v>548</v>
      </c>
      <c r="B194" s="84" t="s">
        <v>549</v>
      </c>
      <c r="C194" s="240">
        <v>33404746.539999999</v>
      </c>
      <c r="D194" s="84" t="s">
        <v>548</v>
      </c>
      <c r="E194" s="84" t="s">
        <v>549</v>
      </c>
      <c r="F194" s="240">
        <v>33404746.539999999</v>
      </c>
      <c r="G194" s="84" t="s">
        <v>548</v>
      </c>
      <c r="H194" s="84" t="s">
        <v>549</v>
      </c>
      <c r="I194" s="236">
        <v>50018994.049999997</v>
      </c>
      <c r="J194" t="str">
        <f t="shared" si="6"/>
        <v>203</v>
      </c>
      <c r="K194" s="83" t="s">
        <v>305</v>
      </c>
      <c r="L194" s="26">
        <f t="shared" si="7"/>
        <v>0</v>
      </c>
    </row>
    <row r="195" spans="1:12" x14ac:dyDescent="0.35">
      <c r="A195" s="80" t="s">
        <v>550</v>
      </c>
      <c r="B195" s="80" t="s">
        <v>551</v>
      </c>
      <c r="C195" s="241">
        <v>18828.59</v>
      </c>
      <c r="D195" s="80" t="s">
        <v>550</v>
      </c>
      <c r="E195" s="80" t="s">
        <v>551</v>
      </c>
      <c r="F195" s="241">
        <v>18828.59</v>
      </c>
      <c r="G195" s="80" t="s">
        <v>550</v>
      </c>
      <c r="H195" s="80" t="s">
        <v>551</v>
      </c>
      <c r="I195" s="235">
        <v>11767.9</v>
      </c>
      <c r="J195" t="str">
        <f t="shared" si="6"/>
        <v>203</v>
      </c>
      <c r="K195" s="83" t="s">
        <v>305</v>
      </c>
      <c r="L195" s="26">
        <f t="shared" si="7"/>
        <v>0</v>
      </c>
    </row>
    <row r="196" spans="1:12" x14ac:dyDescent="0.35">
      <c r="A196" s="84" t="s">
        <v>552</v>
      </c>
      <c r="B196" s="84" t="s">
        <v>505</v>
      </c>
      <c r="C196" s="240">
        <v>6322975.5300000003</v>
      </c>
      <c r="D196" s="84" t="s">
        <v>552</v>
      </c>
      <c r="E196" s="84" t="s">
        <v>505</v>
      </c>
      <c r="F196" s="240">
        <v>6322975.5300000003</v>
      </c>
      <c r="G196" s="84" t="s">
        <v>552</v>
      </c>
      <c r="H196" s="84" t="s">
        <v>505</v>
      </c>
      <c r="I196" s="236">
        <v>6579400.2300000004</v>
      </c>
      <c r="J196" t="str">
        <f t="shared" si="6"/>
        <v>203</v>
      </c>
      <c r="K196" s="83" t="s">
        <v>305</v>
      </c>
      <c r="L196" s="26">
        <f t="shared" si="7"/>
        <v>0</v>
      </c>
    </row>
    <row r="197" spans="1:12" x14ac:dyDescent="0.35">
      <c r="A197" s="80" t="s">
        <v>553</v>
      </c>
      <c r="B197" s="80" t="s">
        <v>509</v>
      </c>
      <c r="C197" s="241">
        <v>51.44</v>
      </c>
      <c r="D197" s="80" t="s">
        <v>553</v>
      </c>
      <c r="E197" s="80" t="s">
        <v>509</v>
      </c>
      <c r="F197" s="241">
        <v>51.44</v>
      </c>
      <c r="G197" s="80" t="s">
        <v>553</v>
      </c>
      <c r="H197" s="80" t="s">
        <v>509</v>
      </c>
      <c r="I197" s="235">
        <v>51.44</v>
      </c>
      <c r="J197" t="str">
        <f t="shared" si="6"/>
        <v>203</v>
      </c>
      <c r="K197" s="83" t="s">
        <v>305</v>
      </c>
      <c r="L197" s="26">
        <f t="shared" si="7"/>
        <v>0</v>
      </c>
    </row>
    <row r="198" spans="1:12" x14ac:dyDescent="0.35">
      <c r="A198" s="80" t="s">
        <v>554</v>
      </c>
      <c r="B198" s="80" t="s">
        <v>555</v>
      </c>
      <c r="C198" s="241">
        <v>2039127.79</v>
      </c>
      <c r="D198" s="80" t="s">
        <v>554</v>
      </c>
      <c r="E198" s="80" t="s">
        <v>555</v>
      </c>
      <c r="F198" s="241">
        <v>2039127.79</v>
      </c>
      <c r="G198" s="80" t="s">
        <v>554</v>
      </c>
      <c r="H198" s="80" t="s">
        <v>555</v>
      </c>
      <c r="I198" s="235">
        <v>1920872.51</v>
      </c>
      <c r="J198" t="str">
        <f t="shared" si="6"/>
        <v>203</v>
      </c>
      <c r="K198" s="83" t="s">
        <v>210</v>
      </c>
      <c r="L198" s="26">
        <f t="shared" si="7"/>
        <v>0</v>
      </c>
    </row>
    <row r="199" spans="1:12" x14ac:dyDescent="0.35">
      <c r="A199" s="84" t="s">
        <v>556</v>
      </c>
      <c r="B199" s="84" t="s">
        <v>557</v>
      </c>
      <c r="C199" s="240">
        <v>11387822.220000001</v>
      </c>
      <c r="D199" s="84" t="s">
        <v>556</v>
      </c>
      <c r="E199" s="84" t="s">
        <v>557</v>
      </c>
      <c r="F199" s="240">
        <v>11387822.220000001</v>
      </c>
      <c r="G199" s="84" t="s">
        <v>556</v>
      </c>
      <c r="H199" s="84" t="s">
        <v>557</v>
      </c>
      <c r="I199" s="236">
        <v>8118705.0899999999</v>
      </c>
      <c r="J199" t="str">
        <f t="shared" si="6"/>
        <v>203</v>
      </c>
      <c r="K199" s="83" t="s">
        <v>210</v>
      </c>
      <c r="L199" s="26">
        <f t="shared" si="7"/>
        <v>0</v>
      </c>
    </row>
    <row r="200" spans="1:12" x14ac:dyDescent="0.35">
      <c r="A200" s="80" t="s">
        <v>558</v>
      </c>
      <c r="B200" s="80" t="s">
        <v>559</v>
      </c>
      <c r="C200" s="241">
        <v>5380626.5199999996</v>
      </c>
      <c r="D200" s="80" t="s">
        <v>558</v>
      </c>
      <c r="E200" s="80" t="s">
        <v>559</v>
      </c>
      <c r="F200" s="241">
        <v>5380626.5199999996</v>
      </c>
      <c r="G200" s="80" t="s">
        <v>558</v>
      </c>
      <c r="H200" s="80" t="s">
        <v>559</v>
      </c>
      <c r="I200" s="235">
        <v>3445258.08</v>
      </c>
      <c r="J200" t="str">
        <f t="shared" si="6"/>
        <v>203</v>
      </c>
      <c r="K200" s="83" t="s">
        <v>210</v>
      </c>
      <c r="L200" s="26">
        <f t="shared" si="7"/>
        <v>0</v>
      </c>
    </row>
    <row r="201" spans="1:12" x14ac:dyDescent="0.35">
      <c r="A201" s="84" t="s">
        <v>560</v>
      </c>
      <c r="B201" s="84" t="s">
        <v>561</v>
      </c>
      <c r="C201" s="240">
        <v>32934142.059999999</v>
      </c>
      <c r="D201" s="84" t="s">
        <v>560</v>
      </c>
      <c r="E201" s="84" t="s">
        <v>561</v>
      </c>
      <c r="F201" s="240">
        <v>32934142.059999999</v>
      </c>
      <c r="G201" s="84" t="s">
        <v>560</v>
      </c>
      <c r="H201" s="84" t="s">
        <v>561</v>
      </c>
      <c r="I201" s="236">
        <v>26407344.809999999</v>
      </c>
      <c r="J201" t="str">
        <f t="shared" si="6"/>
        <v>203</v>
      </c>
      <c r="K201" s="83" t="s">
        <v>210</v>
      </c>
      <c r="L201" s="26">
        <f t="shared" si="7"/>
        <v>0</v>
      </c>
    </row>
    <row r="202" spans="1:12" x14ac:dyDescent="0.35">
      <c r="A202" s="80" t="s">
        <v>562</v>
      </c>
      <c r="B202" s="80" t="s">
        <v>563</v>
      </c>
      <c r="C202" s="241">
        <v>2051725412.3399999</v>
      </c>
      <c r="D202" s="80" t="s">
        <v>562</v>
      </c>
      <c r="E202" s="80" t="s">
        <v>563</v>
      </c>
      <c r="F202" s="241">
        <v>2051725412.3399999</v>
      </c>
      <c r="G202" s="80" t="s">
        <v>562</v>
      </c>
      <c r="H202" s="80" t="s">
        <v>563</v>
      </c>
      <c r="I202" s="235">
        <v>1972783067.3299999</v>
      </c>
      <c r="J202" t="str">
        <f t="shared" ref="J202:J246" si="10">LEFT(A202,3)</f>
        <v>203</v>
      </c>
      <c r="K202" s="77" t="s">
        <v>203</v>
      </c>
      <c r="L202" s="26">
        <f t="shared" si="7"/>
        <v>0</v>
      </c>
    </row>
    <row r="203" spans="1:12" x14ac:dyDescent="0.35">
      <c r="A203" s="84" t="s">
        <v>564</v>
      </c>
      <c r="B203" s="84" t="s">
        <v>565</v>
      </c>
      <c r="C203" s="240">
        <v>80577.17</v>
      </c>
      <c r="D203" s="84" t="s">
        <v>564</v>
      </c>
      <c r="E203" s="84" t="s">
        <v>565</v>
      </c>
      <c r="F203" s="240">
        <v>80577.17</v>
      </c>
      <c r="G203" s="84" t="s">
        <v>564</v>
      </c>
      <c r="H203" s="84" t="s">
        <v>565</v>
      </c>
      <c r="I203" s="236">
        <v>100467.78</v>
      </c>
      <c r="J203" t="str">
        <f t="shared" si="10"/>
        <v>203</v>
      </c>
      <c r="K203" s="83" t="s">
        <v>305</v>
      </c>
      <c r="L203" s="26">
        <f t="shared" si="7"/>
        <v>0</v>
      </c>
    </row>
    <row r="204" spans="1:12" x14ac:dyDescent="0.35">
      <c r="A204" s="80" t="s">
        <v>566</v>
      </c>
      <c r="B204" s="80" t="s">
        <v>567</v>
      </c>
      <c r="C204" s="241">
        <v>10000412.449999999</v>
      </c>
      <c r="D204" s="80" t="s">
        <v>566</v>
      </c>
      <c r="E204" s="80" t="s">
        <v>567</v>
      </c>
      <c r="F204" s="241">
        <v>10000412.449999999</v>
      </c>
      <c r="G204" s="80" t="s">
        <v>566</v>
      </c>
      <c r="H204" s="80" t="s">
        <v>567</v>
      </c>
      <c r="I204" s="235">
        <v>17717686.640000001</v>
      </c>
      <c r="J204" t="str">
        <f t="shared" si="10"/>
        <v>203</v>
      </c>
      <c r="K204" s="83" t="s">
        <v>210</v>
      </c>
      <c r="L204" s="26">
        <f t="shared" si="7"/>
        <v>0</v>
      </c>
    </row>
    <row r="205" spans="1:12" x14ac:dyDescent="0.35">
      <c r="A205" s="80" t="s">
        <v>568</v>
      </c>
      <c r="B205" s="80" t="s">
        <v>569</v>
      </c>
      <c r="C205" s="240">
        <v>5687175.29</v>
      </c>
      <c r="D205" s="80" t="s">
        <v>568</v>
      </c>
      <c r="E205" s="80" t="s">
        <v>569</v>
      </c>
      <c r="F205" s="240">
        <v>5687175.29</v>
      </c>
      <c r="G205" s="80" t="s">
        <v>568</v>
      </c>
      <c r="H205" s="80" t="s">
        <v>569</v>
      </c>
      <c r="I205" s="236">
        <v>16787840.989999998</v>
      </c>
      <c r="J205" t="str">
        <f t="shared" si="10"/>
        <v>203</v>
      </c>
      <c r="K205" s="83" t="s">
        <v>210</v>
      </c>
      <c r="L205" s="26">
        <f t="shared" si="7"/>
        <v>0</v>
      </c>
    </row>
    <row r="206" spans="1:12" x14ac:dyDescent="0.35">
      <c r="A206" s="80" t="s">
        <v>570</v>
      </c>
      <c r="B206" s="80" t="s">
        <v>571</v>
      </c>
      <c r="C206" s="240">
        <v>1395500718.28</v>
      </c>
      <c r="D206" s="80" t="s">
        <v>570</v>
      </c>
      <c r="E206" s="80" t="s">
        <v>571</v>
      </c>
      <c r="F206" s="240">
        <v>1395500718.28</v>
      </c>
      <c r="G206" s="80" t="s">
        <v>570</v>
      </c>
      <c r="H206" s="80" t="s">
        <v>571</v>
      </c>
      <c r="I206" s="236">
        <v>984620073.58000004</v>
      </c>
      <c r="J206" t="str">
        <f t="shared" si="10"/>
        <v>203</v>
      </c>
      <c r="K206" s="83" t="s">
        <v>210</v>
      </c>
      <c r="L206" s="26">
        <f t="shared" si="7"/>
        <v>0</v>
      </c>
    </row>
    <row r="207" spans="1:12" x14ac:dyDescent="0.35">
      <c r="A207" s="84" t="s">
        <v>572</v>
      </c>
      <c r="B207" s="84" t="s">
        <v>573</v>
      </c>
      <c r="C207" s="241">
        <v>0</v>
      </c>
      <c r="D207" s="84" t="s">
        <v>572</v>
      </c>
      <c r="E207" s="84" t="s">
        <v>573</v>
      </c>
      <c r="F207" s="241">
        <v>0</v>
      </c>
      <c r="G207" s="84" t="s">
        <v>572</v>
      </c>
      <c r="H207" s="84" t="s">
        <v>573</v>
      </c>
      <c r="I207" s="235">
        <v>0</v>
      </c>
      <c r="J207" t="str">
        <f t="shared" si="10"/>
        <v>203</v>
      </c>
      <c r="K207" s="83" t="s">
        <v>210</v>
      </c>
      <c r="L207" s="26">
        <f t="shared" si="7"/>
        <v>0</v>
      </c>
    </row>
    <row r="208" spans="1:12" x14ac:dyDescent="0.35">
      <c r="A208" s="80" t="s">
        <v>574</v>
      </c>
      <c r="B208" s="80" t="s">
        <v>575</v>
      </c>
      <c r="C208" s="241">
        <v>260995129.30000001</v>
      </c>
      <c r="D208" s="80" t="s">
        <v>574</v>
      </c>
      <c r="E208" s="80" t="s">
        <v>575</v>
      </c>
      <c r="F208" s="241">
        <v>260995129.30000001</v>
      </c>
      <c r="G208" s="80" t="s">
        <v>574</v>
      </c>
      <c r="H208" s="80" t="s">
        <v>575</v>
      </c>
      <c r="I208" s="235">
        <v>240329671.84</v>
      </c>
      <c r="J208" t="str">
        <f t="shared" si="10"/>
        <v>203</v>
      </c>
      <c r="K208" s="83" t="s">
        <v>210</v>
      </c>
      <c r="L208" s="26">
        <f t="shared" si="7"/>
        <v>0</v>
      </c>
    </row>
    <row r="209" spans="1:13" x14ac:dyDescent="0.35">
      <c r="A209" s="80" t="s">
        <v>576</v>
      </c>
      <c r="B209" s="80" t="s">
        <v>577</v>
      </c>
      <c r="C209" s="241">
        <v>4180140.21</v>
      </c>
      <c r="D209" s="80" t="s">
        <v>576</v>
      </c>
      <c r="E209" s="80" t="s">
        <v>577</v>
      </c>
      <c r="F209" s="241">
        <v>4180140.21</v>
      </c>
      <c r="G209" s="80" t="s">
        <v>576</v>
      </c>
      <c r="H209" s="80" t="s">
        <v>577</v>
      </c>
      <c r="I209" s="235">
        <v>1670709.79</v>
      </c>
      <c r="J209" t="str">
        <f t="shared" si="10"/>
        <v>203</v>
      </c>
      <c r="K209" s="83" t="s">
        <v>210</v>
      </c>
      <c r="L209" s="26">
        <f t="shared" si="7"/>
        <v>0</v>
      </c>
    </row>
    <row r="210" spans="1:13" x14ac:dyDescent="0.35">
      <c r="A210" s="84" t="s">
        <v>578</v>
      </c>
      <c r="B210" s="84" t="s">
        <v>579</v>
      </c>
      <c r="C210" s="240">
        <v>1929.06</v>
      </c>
      <c r="D210" s="84" t="s">
        <v>578</v>
      </c>
      <c r="E210" s="84" t="s">
        <v>579</v>
      </c>
      <c r="F210" s="240">
        <v>1929.06</v>
      </c>
      <c r="G210" s="84" t="s">
        <v>578</v>
      </c>
      <c r="H210" s="84" t="s">
        <v>579</v>
      </c>
      <c r="I210" s="236">
        <v>4134.0600000000004</v>
      </c>
      <c r="J210" t="str">
        <f t="shared" si="10"/>
        <v>203</v>
      </c>
      <c r="K210" s="83" t="s">
        <v>210</v>
      </c>
      <c r="L210" s="26">
        <f t="shared" si="7"/>
        <v>0</v>
      </c>
    </row>
    <row r="211" spans="1:13" x14ac:dyDescent="0.35">
      <c r="A211" s="80" t="s">
        <v>580</v>
      </c>
      <c r="B211" s="80" t="s">
        <v>581</v>
      </c>
      <c r="C211" s="241">
        <v>749782.42</v>
      </c>
      <c r="D211" s="80" t="s">
        <v>580</v>
      </c>
      <c r="E211" s="80" t="s">
        <v>581</v>
      </c>
      <c r="F211" s="241">
        <v>749782.42</v>
      </c>
      <c r="G211" s="80" t="s">
        <v>580</v>
      </c>
      <c r="H211" s="80" t="s">
        <v>581</v>
      </c>
      <c r="I211" s="235">
        <v>812038.75</v>
      </c>
      <c r="J211" t="str">
        <f t="shared" si="10"/>
        <v>203</v>
      </c>
      <c r="K211" s="83" t="s">
        <v>210</v>
      </c>
      <c r="L211" s="26">
        <f t="shared" si="7"/>
        <v>0</v>
      </c>
    </row>
    <row r="212" spans="1:13" x14ac:dyDescent="0.35">
      <c r="A212" s="80" t="s">
        <v>582</v>
      </c>
      <c r="B212" s="80" t="s">
        <v>583</v>
      </c>
      <c r="C212" s="241">
        <v>124784.88</v>
      </c>
      <c r="D212" s="80" t="s">
        <v>582</v>
      </c>
      <c r="E212" s="80" t="s">
        <v>583</v>
      </c>
      <c r="F212" s="241">
        <v>124784.88</v>
      </c>
      <c r="G212" s="80" t="s">
        <v>582</v>
      </c>
      <c r="H212" s="80" t="s">
        <v>583</v>
      </c>
      <c r="I212" s="235">
        <v>105797</v>
      </c>
      <c r="J212" t="str">
        <f t="shared" si="10"/>
        <v>206</v>
      </c>
      <c r="K212" s="83" t="s">
        <v>584</v>
      </c>
      <c r="L212" s="26">
        <f t="shared" si="7"/>
        <v>0</v>
      </c>
    </row>
    <row r="213" spans="1:13" x14ac:dyDescent="0.35">
      <c r="A213" s="84" t="s">
        <v>585</v>
      </c>
      <c r="B213" s="84" t="s">
        <v>586</v>
      </c>
      <c r="C213" s="240">
        <v>240385.26</v>
      </c>
      <c r="D213" s="84" t="s">
        <v>585</v>
      </c>
      <c r="E213" s="84" t="s">
        <v>586</v>
      </c>
      <c r="F213" s="240">
        <v>240385.26</v>
      </c>
      <c r="G213" s="84" t="s">
        <v>585</v>
      </c>
      <c r="H213" s="84" t="s">
        <v>586</v>
      </c>
      <c r="I213" s="236">
        <v>490115.37</v>
      </c>
      <c r="J213" t="str">
        <f t="shared" si="10"/>
        <v>206</v>
      </c>
      <c r="K213" s="83" t="s">
        <v>584</v>
      </c>
      <c r="L213" s="26">
        <f t="shared" si="7"/>
        <v>0</v>
      </c>
    </row>
    <row r="214" spans="1:13" x14ac:dyDescent="0.35">
      <c r="A214" s="80" t="s">
        <v>587</v>
      </c>
      <c r="B214" s="80" t="s">
        <v>588</v>
      </c>
      <c r="C214" s="241">
        <v>152915997.91999999</v>
      </c>
      <c r="D214" s="80" t="s">
        <v>587</v>
      </c>
      <c r="E214" s="80" t="s">
        <v>588</v>
      </c>
      <c r="F214" s="241">
        <v>152915997.91999999</v>
      </c>
      <c r="G214" s="80" t="s">
        <v>587</v>
      </c>
      <c r="H214" s="80" t="s">
        <v>588</v>
      </c>
      <c r="I214" s="235">
        <v>135989980.03999999</v>
      </c>
      <c r="J214" t="str">
        <f t="shared" si="10"/>
        <v>206</v>
      </c>
      <c r="K214" s="83" t="s">
        <v>584</v>
      </c>
      <c r="L214" s="26">
        <f t="shared" si="7"/>
        <v>0</v>
      </c>
    </row>
    <row r="215" spans="1:13" x14ac:dyDescent="0.35">
      <c r="A215" s="84" t="s">
        <v>589</v>
      </c>
      <c r="B215" s="84" t="s">
        <v>590</v>
      </c>
      <c r="C215" s="240">
        <v>0</v>
      </c>
      <c r="D215" s="84" t="s">
        <v>589</v>
      </c>
      <c r="E215" s="84" t="s">
        <v>590</v>
      </c>
      <c r="F215" s="240">
        <v>0</v>
      </c>
      <c r="G215" s="84" t="s">
        <v>589</v>
      </c>
      <c r="H215" s="84" t="s">
        <v>590</v>
      </c>
      <c r="I215" s="236">
        <v>0</v>
      </c>
      <c r="J215" t="str">
        <f t="shared" si="10"/>
        <v>206</v>
      </c>
      <c r="K215" s="83" t="s">
        <v>584</v>
      </c>
      <c r="L215" s="26">
        <f t="shared" si="7"/>
        <v>0</v>
      </c>
    </row>
    <row r="216" spans="1:13" x14ac:dyDescent="0.35">
      <c r="A216" s="80" t="s">
        <v>591</v>
      </c>
      <c r="B216" s="80" t="s">
        <v>592</v>
      </c>
      <c r="C216" s="240">
        <v>493729.12</v>
      </c>
      <c r="D216" s="80" t="s">
        <v>591</v>
      </c>
      <c r="E216" s="80" t="s">
        <v>592</v>
      </c>
      <c r="F216" s="240">
        <v>493729.12</v>
      </c>
      <c r="G216" s="80" t="s">
        <v>591</v>
      </c>
      <c r="H216" s="80" t="s">
        <v>592</v>
      </c>
      <c r="I216" s="235">
        <v>436409.24</v>
      </c>
      <c r="J216" t="str">
        <f t="shared" si="10"/>
        <v>206</v>
      </c>
      <c r="K216" s="83" t="s">
        <v>584</v>
      </c>
      <c r="L216" s="26">
        <f t="shared" si="7"/>
        <v>0</v>
      </c>
    </row>
    <row r="217" spans="1:13" x14ac:dyDescent="0.35">
      <c r="A217" s="84" t="s">
        <v>593</v>
      </c>
      <c r="B217" s="84" t="s">
        <v>594</v>
      </c>
      <c r="C217" s="241">
        <v>0</v>
      </c>
      <c r="D217" s="84" t="s">
        <v>593</v>
      </c>
      <c r="E217" s="84" t="s">
        <v>594</v>
      </c>
      <c r="F217" s="241">
        <v>0</v>
      </c>
      <c r="G217" s="84" t="s">
        <v>593</v>
      </c>
      <c r="H217" s="84" t="s">
        <v>594</v>
      </c>
      <c r="I217" s="236">
        <v>0</v>
      </c>
      <c r="J217" t="str">
        <f t="shared" si="10"/>
        <v>206</v>
      </c>
      <c r="K217" s="83" t="s">
        <v>584</v>
      </c>
      <c r="L217" s="26">
        <f t="shared" si="7"/>
        <v>0</v>
      </c>
    </row>
    <row r="218" spans="1:13" x14ac:dyDescent="0.35">
      <c r="A218" s="80" t="s">
        <v>595</v>
      </c>
      <c r="B218" s="80" t="s">
        <v>596</v>
      </c>
      <c r="C218" s="241">
        <v>643538</v>
      </c>
      <c r="D218" s="80" t="s">
        <v>595</v>
      </c>
      <c r="E218" s="80" t="s">
        <v>596</v>
      </c>
      <c r="F218" s="241">
        <v>643538</v>
      </c>
      <c r="G218" s="80" t="s">
        <v>595</v>
      </c>
      <c r="H218" s="80" t="s">
        <v>596</v>
      </c>
      <c r="I218" s="235">
        <v>664254.19999999995</v>
      </c>
      <c r="J218" t="str">
        <f t="shared" si="10"/>
        <v>206</v>
      </c>
      <c r="K218" s="83" t="s">
        <v>584</v>
      </c>
      <c r="L218" s="26">
        <f t="shared" ref="L218:L246" si="11">C218-F218</f>
        <v>0</v>
      </c>
    </row>
    <row r="219" spans="1:13" x14ac:dyDescent="0.35">
      <c r="A219" s="80" t="s">
        <v>597</v>
      </c>
      <c r="B219" s="80" t="s">
        <v>598</v>
      </c>
      <c r="C219" s="240">
        <v>963835133.11000001</v>
      </c>
      <c r="D219" s="80" t="s">
        <v>597</v>
      </c>
      <c r="E219" s="80" t="s">
        <v>598</v>
      </c>
      <c r="F219" s="240">
        <v>963835133.11000001</v>
      </c>
      <c r="G219" s="80" t="s">
        <v>597</v>
      </c>
      <c r="H219" s="80" t="s">
        <v>598</v>
      </c>
      <c r="I219" s="236">
        <v>504389458.18000001</v>
      </c>
      <c r="J219" t="str">
        <f t="shared" si="10"/>
        <v>208</v>
      </c>
      <c r="K219" s="83" t="s">
        <v>203</v>
      </c>
      <c r="L219" s="26">
        <f t="shared" si="11"/>
        <v>0</v>
      </c>
      <c r="M219" s="26">
        <f>L219+L220+L221+L222+L235+L236+L238+L239+L242</f>
        <v>0</v>
      </c>
    </row>
    <row r="220" spans="1:13" x14ac:dyDescent="0.35">
      <c r="A220" s="80" t="s">
        <v>599</v>
      </c>
      <c r="B220" s="84" t="s">
        <v>600</v>
      </c>
      <c r="C220" s="241">
        <v>11291913.779999999</v>
      </c>
      <c r="D220" s="80" t="s">
        <v>599</v>
      </c>
      <c r="E220" s="84" t="s">
        <v>600</v>
      </c>
      <c r="F220" s="241">
        <v>11291913.779999999</v>
      </c>
      <c r="G220" s="80" t="s">
        <v>599</v>
      </c>
      <c r="H220" s="84" t="s">
        <v>600</v>
      </c>
      <c r="I220" s="235">
        <v>7894482.8099999996</v>
      </c>
      <c r="J220" t="str">
        <f t="shared" si="10"/>
        <v>208</v>
      </c>
      <c r="K220" s="83" t="s">
        <v>203</v>
      </c>
      <c r="L220" s="26">
        <f t="shared" si="11"/>
        <v>0</v>
      </c>
    </row>
    <row r="221" spans="1:13" x14ac:dyDescent="0.35">
      <c r="A221" s="84" t="s">
        <v>601</v>
      </c>
      <c r="B221" s="84" t="s">
        <v>602</v>
      </c>
      <c r="C221" s="241">
        <v>139401544.38</v>
      </c>
      <c r="D221" s="84" t="s">
        <v>601</v>
      </c>
      <c r="E221" s="84" t="s">
        <v>602</v>
      </c>
      <c r="F221" s="241">
        <v>139401544.38</v>
      </c>
      <c r="G221" s="84" t="s">
        <v>601</v>
      </c>
      <c r="H221" s="84" t="s">
        <v>602</v>
      </c>
      <c r="I221" s="235">
        <v>67972972.959999993</v>
      </c>
      <c r="J221" t="str">
        <f t="shared" si="10"/>
        <v>208</v>
      </c>
      <c r="K221" s="83" t="s">
        <v>203</v>
      </c>
      <c r="L221" s="26">
        <f t="shared" si="11"/>
        <v>0</v>
      </c>
    </row>
    <row r="222" spans="1:13" x14ac:dyDescent="0.35">
      <c r="A222" s="80" t="s">
        <v>603</v>
      </c>
      <c r="B222" s="80" t="s">
        <v>604</v>
      </c>
      <c r="C222" s="240">
        <v>1899.69</v>
      </c>
      <c r="D222" s="80" t="s">
        <v>603</v>
      </c>
      <c r="E222" s="80" t="s">
        <v>604</v>
      </c>
      <c r="F222" s="240">
        <v>1899.69</v>
      </c>
      <c r="G222" s="80" t="s">
        <v>603</v>
      </c>
      <c r="H222" s="80" t="s">
        <v>604</v>
      </c>
      <c r="I222" s="236">
        <v>27782.91</v>
      </c>
      <c r="J222" t="str">
        <f t="shared" si="10"/>
        <v>208</v>
      </c>
      <c r="K222" s="83" t="s">
        <v>203</v>
      </c>
      <c r="L222" s="26">
        <f t="shared" si="11"/>
        <v>0</v>
      </c>
    </row>
    <row r="223" spans="1:13" x14ac:dyDescent="0.35">
      <c r="A223" s="80" t="s">
        <v>864</v>
      </c>
      <c r="B223" s="80" t="s">
        <v>865</v>
      </c>
      <c r="C223" s="241">
        <v>2001274.35</v>
      </c>
      <c r="D223" s="80" t="s">
        <v>864</v>
      </c>
      <c r="E223" s="80" t="s">
        <v>865</v>
      </c>
      <c r="F223" s="241">
        <v>2001274.35</v>
      </c>
      <c r="G223" s="80" t="s">
        <v>864</v>
      </c>
      <c r="H223" s="80" t="s">
        <v>865</v>
      </c>
      <c r="I223" s="235">
        <v>1704888.52</v>
      </c>
      <c r="J223" t="str">
        <f t="shared" si="10"/>
        <v>250</v>
      </c>
      <c r="K223" s="83" t="s">
        <v>444</v>
      </c>
      <c r="L223" s="26">
        <f t="shared" si="11"/>
        <v>0</v>
      </c>
    </row>
    <row r="224" spans="1:13" x14ac:dyDescent="0.35">
      <c r="A224" s="80" t="s">
        <v>605</v>
      </c>
      <c r="B224" s="80" t="s">
        <v>606</v>
      </c>
      <c r="C224" s="81">
        <v>-0.02</v>
      </c>
      <c r="D224" s="80" t="s">
        <v>605</v>
      </c>
      <c r="E224" s="80" t="s">
        <v>606</v>
      </c>
      <c r="F224" s="81">
        <v>-0.02</v>
      </c>
      <c r="G224" s="80" t="s">
        <v>605</v>
      </c>
      <c r="H224" s="80" t="s">
        <v>606</v>
      </c>
      <c r="I224" s="81">
        <v>-0.02</v>
      </c>
      <c r="J224" t="str">
        <f t="shared" si="10"/>
        <v>253</v>
      </c>
      <c r="K224" s="77" t="s">
        <v>305</v>
      </c>
      <c r="L224" s="26">
        <f t="shared" si="11"/>
        <v>0</v>
      </c>
    </row>
    <row r="225" spans="1:12" x14ac:dyDescent="0.35">
      <c r="A225" s="80" t="s">
        <v>607</v>
      </c>
      <c r="B225" s="80" t="s">
        <v>608</v>
      </c>
      <c r="C225" s="240">
        <v>46232156.159999996</v>
      </c>
      <c r="D225" s="80" t="s">
        <v>607</v>
      </c>
      <c r="E225" s="80" t="s">
        <v>608</v>
      </c>
      <c r="F225" s="240">
        <v>46232156.159999996</v>
      </c>
      <c r="G225" s="80" t="s">
        <v>607</v>
      </c>
      <c r="H225" s="80" t="s">
        <v>608</v>
      </c>
      <c r="I225" s="236">
        <v>50291188.490000002</v>
      </c>
      <c r="J225" t="str">
        <f t="shared" si="10"/>
        <v>253</v>
      </c>
      <c r="K225" s="77" t="s">
        <v>305</v>
      </c>
      <c r="L225" s="26">
        <f t="shared" si="11"/>
        <v>0</v>
      </c>
    </row>
    <row r="226" spans="1:12" x14ac:dyDescent="0.35">
      <c r="A226" s="80" t="s">
        <v>609</v>
      </c>
      <c r="B226" s="80" t="s">
        <v>317</v>
      </c>
      <c r="C226" s="235">
        <v>39849299</v>
      </c>
      <c r="D226" s="80" t="s">
        <v>609</v>
      </c>
      <c r="E226" s="80" t="s">
        <v>317</v>
      </c>
      <c r="F226" s="235">
        <v>39849299</v>
      </c>
      <c r="G226" s="80" t="s">
        <v>609</v>
      </c>
      <c r="H226" s="80" t="s">
        <v>317</v>
      </c>
      <c r="I226" s="235">
        <f>34055099</f>
        <v>34055099</v>
      </c>
      <c r="J226" t="str">
        <f t="shared" si="10"/>
        <v>253</v>
      </c>
      <c r="K226" s="83" t="s">
        <v>867</v>
      </c>
      <c r="L226" s="26">
        <f t="shared" si="11"/>
        <v>0</v>
      </c>
    </row>
    <row r="227" spans="1:12" x14ac:dyDescent="0.35">
      <c r="A227" s="80" t="s">
        <v>609</v>
      </c>
      <c r="B227" s="80" t="s">
        <v>317</v>
      </c>
      <c r="C227" s="240">
        <f>40370610.63-39849299</f>
        <v>521311.63000000268</v>
      </c>
      <c r="D227" s="80" t="s">
        <v>609</v>
      </c>
      <c r="E227" s="80" t="s">
        <v>317</v>
      </c>
      <c r="F227" s="240">
        <f>40370610.63-39849299</f>
        <v>521311.63000000268</v>
      </c>
      <c r="G227" s="80" t="s">
        <v>609</v>
      </c>
      <c r="H227" s="80" t="s">
        <v>317</v>
      </c>
      <c r="I227" s="236">
        <f>34576410.63-34055099</f>
        <v>521311.63000000268</v>
      </c>
      <c r="J227" t="str">
        <f t="shared" ref="J227" si="12">LEFT(A227,3)</f>
        <v>253</v>
      </c>
      <c r="K227" s="83" t="s">
        <v>210</v>
      </c>
      <c r="L227" s="26">
        <f t="shared" si="11"/>
        <v>0</v>
      </c>
    </row>
    <row r="228" spans="1:12" x14ac:dyDescent="0.35">
      <c r="A228" s="80" t="s">
        <v>610</v>
      </c>
      <c r="B228" s="80" t="s">
        <v>611</v>
      </c>
      <c r="C228" s="240">
        <v>41078110.020000003</v>
      </c>
      <c r="D228" s="80" t="s">
        <v>610</v>
      </c>
      <c r="E228" s="80" t="s">
        <v>611</v>
      </c>
      <c r="F228" s="240">
        <v>41078110.020000003</v>
      </c>
      <c r="G228" s="80" t="s">
        <v>610</v>
      </c>
      <c r="H228" s="80" t="s">
        <v>611</v>
      </c>
      <c r="I228" s="236">
        <v>43451004.75</v>
      </c>
      <c r="J228" t="str">
        <f t="shared" si="10"/>
        <v>253</v>
      </c>
      <c r="K228" s="83" t="s">
        <v>210</v>
      </c>
      <c r="L228" s="26">
        <f t="shared" si="11"/>
        <v>0</v>
      </c>
    </row>
    <row r="229" spans="1:12" x14ac:dyDescent="0.35">
      <c r="A229" s="80" t="s">
        <v>612</v>
      </c>
      <c r="B229" s="80" t="s">
        <v>588</v>
      </c>
      <c r="C229" s="85">
        <f>9196927.29-673197.58</f>
        <v>8523729.709999999</v>
      </c>
      <c r="D229" s="80" t="s">
        <v>612</v>
      </c>
      <c r="E229" s="80" t="s">
        <v>588</v>
      </c>
      <c r="F229" s="85">
        <f>9196927.29-673197.58</f>
        <v>8523729.709999999</v>
      </c>
      <c r="G229" s="80" t="s">
        <v>612</v>
      </c>
      <c r="H229" s="80" t="s">
        <v>588</v>
      </c>
      <c r="I229" s="85">
        <f>10500045.32-624278.22-678839.81</f>
        <v>9196927.2899999991</v>
      </c>
      <c r="J229" t="str">
        <f t="shared" si="10"/>
        <v>256</v>
      </c>
      <c r="K229" s="83" t="s">
        <v>203</v>
      </c>
      <c r="L229" s="26">
        <f t="shared" si="11"/>
        <v>0</v>
      </c>
    </row>
    <row r="230" spans="1:12" x14ac:dyDescent="0.35">
      <c r="A230" s="80" t="s">
        <v>612</v>
      </c>
      <c r="B230" s="80" t="s">
        <v>588</v>
      </c>
      <c r="C230" s="240">
        <f>4864301153.35-8523729.71</f>
        <v>4855777423.6400003</v>
      </c>
      <c r="D230" s="80" t="s">
        <v>612</v>
      </c>
      <c r="E230" s="80" t="s">
        <v>588</v>
      </c>
      <c r="F230" s="240">
        <f>4864301153.35-8523729.71</f>
        <v>4855777423.6400003</v>
      </c>
      <c r="G230" s="80" t="s">
        <v>612</v>
      </c>
      <c r="H230" s="80" t="s">
        <v>588</v>
      </c>
      <c r="I230" s="236">
        <f>4516470658.68-9196927.29</f>
        <v>4507273731.3900003</v>
      </c>
      <c r="J230" t="str">
        <f t="shared" si="10"/>
        <v>256</v>
      </c>
      <c r="K230" s="83" t="s">
        <v>584</v>
      </c>
      <c r="L230" s="26">
        <f t="shared" si="11"/>
        <v>0</v>
      </c>
    </row>
    <row r="231" spans="1:12" x14ac:dyDescent="0.35">
      <c r="A231" s="84" t="s">
        <v>613</v>
      </c>
      <c r="B231" s="84" t="s">
        <v>614</v>
      </c>
      <c r="C231" s="241">
        <v>2729895</v>
      </c>
      <c r="D231" s="84" t="s">
        <v>613</v>
      </c>
      <c r="E231" s="84" t="s">
        <v>614</v>
      </c>
      <c r="F231" s="241">
        <v>2729895</v>
      </c>
      <c r="G231" s="84" t="s">
        <v>613</v>
      </c>
      <c r="H231" s="84" t="s">
        <v>614</v>
      </c>
      <c r="I231" s="235">
        <v>2686436</v>
      </c>
      <c r="J231" t="str">
        <f t="shared" si="10"/>
        <v>256</v>
      </c>
      <c r="K231" s="83" t="s">
        <v>584</v>
      </c>
      <c r="L231" s="26">
        <f t="shared" si="11"/>
        <v>0</v>
      </c>
    </row>
    <row r="232" spans="1:12" x14ac:dyDescent="0.35">
      <c r="A232" s="80" t="s">
        <v>615</v>
      </c>
      <c r="B232" s="80" t="s">
        <v>592</v>
      </c>
      <c r="C232" s="240">
        <v>2546447.37</v>
      </c>
      <c r="D232" s="80" t="s">
        <v>615</v>
      </c>
      <c r="E232" s="80" t="s">
        <v>592</v>
      </c>
      <c r="F232" s="240">
        <v>2546447.37</v>
      </c>
      <c r="G232" s="80" t="s">
        <v>615</v>
      </c>
      <c r="H232" s="80" t="s">
        <v>592</v>
      </c>
      <c r="I232" s="236">
        <v>2458192.9300000002</v>
      </c>
      <c r="J232" t="str">
        <f t="shared" si="10"/>
        <v>256</v>
      </c>
      <c r="K232" s="83" t="s">
        <v>584</v>
      </c>
      <c r="L232" s="26">
        <f t="shared" si="11"/>
        <v>0</v>
      </c>
    </row>
    <row r="233" spans="1:12" x14ac:dyDescent="0.35">
      <c r="A233" s="84" t="s">
        <v>616</v>
      </c>
      <c r="B233" s="84" t="s">
        <v>594</v>
      </c>
      <c r="C233" s="241">
        <v>470000</v>
      </c>
      <c r="D233" s="84" t="s">
        <v>616</v>
      </c>
      <c r="E233" s="84" t="s">
        <v>594</v>
      </c>
      <c r="F233" s="241">
        <v>470000</v>
      </c>
      <c r="G233" s="84" t="s">
        <v>616</v>
      </c>
      <c r="H233" s="84" t="s">
        <v>594</v>
      </c>
      <c r="I233" s="81">
        <v>279000</v>
      </c>
      <c r="J233" t="str">
        <f t="shared" si="10"/>
        <v>256</v>
      </c>
      <c r="K233" s="83" t="s">
        <v>584</v>
      </c>
      <c r="L233" s="26">
        <f t="shared" si="11"/>
        <v>0</v>
      </c>
    </row>
    <row r="234" spans="1:12" x14ac:dyDescent="0.35">
      <c r="A234" s="80" t="s">
        <v>617</v>
      </c>
      <c r="B234" s="80" t="s">
        <v>596</v>
      </c>
      <c r="C234" s="155">
        <v>0</v>
      </c>
      <c r="D234" s="80" t="s">
        <v>617</v>
      </c>
      <c r="E234" s="80" t="s">
        <v>596</v>
      </c>
      <c r="F234" s="155">
        <v>0</v>
      </c>
      <c r="G234" s="80" t="s">
        <v>617</v>
      </c>
      <c r="H234" s="80" t="s">
        <v>596</v>
      </c>
      <c r="I234" s="155">
        <v>0</v>
      </c>
      <c r="J234" t="str">
        <f t="shared" si="10"/>
        <v>256</v>
      </c>
      <c r="K234" s="83" t="s">
        <v>584</v>
      </c>
      <c r="L234" s="26">
        <f t="shared" si="11"/>
        <v>0</v>
      </c>
    </row>
    <row r="235" spans="1:12" x14ac:dyDescent="0.35">
      <c r="A235" s="80" t="s">
        <v>618</v>
      </c>
      <c r="B235" s="84" t="s">
        <v>619</v>
      </c>
      <c r="C235" s="240">
        <v>4200000000</v>
      </c>
      <c r="D235" s="80" t="s">
        <v>618</v>
      </c>
      <c r="E235" s="84" t="s">
        <v>619</v>
      </c>
      <c r="F235" s="240">
        <v>4200000000</v>
      </c>
      <c r="G235" s="80" t="s">
        <v>618</v>
      </c>
      <c r="H235" s="84" t="s">
        <v>619</v>
      </c>
      <c r="I235" s="236">
        <v>3000000000</v>
      </c>
      <c r="J235" t="str">
        <f t="shared" si="10"/>
        <v>258</v>
      </c>
      <c r="K235" s="83" t="s">
        <v>203</v>
      </c>
      <c r="L235" s="26">
        <f t="shared" si="11"/>
        <v>0</v>
      </c>
    </row>
    <row r="236" spans="1:12" x14ac:dyDescent="0.35">
      <c r="A236" s="80" t="s">
        <v>620</v>
      </c>
      <c r="B236" s="80" t="s">
        <v>621</v>
      </c>
      <c r="C236" s="241">
        <v>-11660176.369999999</v>
      </c>
      <c r="D236" s="80" t="s">
        <v>620</v>
      </c>
      <c r="E236" s="80" t="s">
        <v>621</v>
      </c>
      <c r="F236" s="241">
        <v>-11660176.369999999</v>
      </c>
      <c r="G236" s="80" t="s">
        <v>620</v>
      </c>
      <c r="H236" s="80" t="s">
        <v>621</v>
      </c>
      <c r="I236" s="235">
        <v>-2817211.84</v>
      </c>
      <c r="J236" t="str">
        <f t="shared" si="10"/>
        <v>258</v>
      </c>
      <c r="K236" s="83" t="s">
        <v>203</v>
      </c>
      <c r="L236" s="26">
        <f t="shared" si="11"/>
        <v>0</v>
      </c>
    </row>
    <row r="237" spans="1:12" x14ac:dyDescent="0.35">
      <c r="A237" s="84" t="s">
        <v>622</v>
      </c>
      <c r="B237" s="84" t="s">
        <v>623</v>
      </c>
      <c r="C237" s="235">
        <f>447113617-4819282</f>
        <v>442294335</v>
      </c>
      <c r="D237" s="84" t="s">
        <v>622</v>
      </c>
      <c r="E237" s="84" t="s">
        <v>623</v>
      </c>
      <c r="F237" s="235">
        <f>447113617-4819282</f>
        <v>442294335</v>
      </c>
      <c r="G237" s="84" t="s">
        <v>622</v>
      </c>
      <c r="H237" s="84" t="s">
        <v>623</v>
      </c>
      <c r="I237" s="235">
        <v>447113617</v>
      </c>
      <c r="J237" t="str">
        <f t="shared" si="10"/>
        <v>258</v>
      </c>
      <c r="K237" s="77" t="s">
        <v>375</v>
      </c>
      <c r="L237" s="26">
        <f t="shared" si="11"/>
        <v>0</v>
      </c>
    </row>
    <row r="238" spans="1:12" x14ac:dyDescent="0.35">
      <c r="A238" s="84" t="s">
        <v>622</v>
      </c>
      <c r="B238" s="84" t="s">
        <v>623</v>
      </c>
      <c r="C238" s="241">
        <f>1954642550.23-442294335</f>
        <v>1512348215.23</v>
      </c>
      <c r="D238" s="84" t="s">
        <v>622</v>
      </c>
      <c r="E238" s="84" t="s">
        <v>623</v>
      </c>
      <c r="F238" s="241">
        <f>1954642550.23-442294335</f>
        <v>1512348215.23</v>
      </c>
      <c r="G238" s="84" t="s">
        <v>622</v>
      </c>
      <c r="H238" s="84" t="s">
        <v>623</v>
      </c>
      <c r="I238" s="235">
        <f>2198863376.61-447113617</f>
        <v>1751749759.6100001</v>
      </c>
      <c r="J238" t="str">
        <f t="shared" si="10"/>
        <v>258</v>
      </c>
      <c r="K238" s="83" t="s">
        <v>203</v>
      </c>
      <c r="L238" s="26">
        <f t="shared" si="11"/>
        <v>0</v>
      </c>
    </row>
    <row r="239" spans="1:12" x14ac:dyDescent="0.35">
      <c r="A239" s="84" t="s">
        <v>624</v>
      </c>
      <c r="B239" s="84" t="s">
        <v>625</v>
      </c>
      <c r="C239" s="240">
        <v>-726192.49</v>
      </c>
      <c r="D239" s="84" t="s">
        <v>624</v>
      </c>
      <c r="E239" s="84" t="s">
        <v>625</v>
      </c>
      <c r="F239" s="240">
        <v>-726192.49</v>
      </c>
      <c r="G239" s="84" t="s">
        <v>624</v>
      </c>
      <c r="H239" s="84" t="s">
        <v>625</v>
      </c>
      <c r="I239" s="236">
        <v>-812249.28</v>
      </c>
      <c r="J239" t="str">
        <f t="shared" si="10"/>
        <v>258</v>
      </c>
      <c r="K239" s="83" t="s">
        <v>203</v>
      </c>
      <c r="L239" s="26">
        <f t="shared" si="11"/>
        <v>0</v>
      </c>
    </row>
    <row r="240" spans="1:12" x14ac:dyDescent="0.35">
      <c r="A240" s="80" t="s">
        <v>626</v>
      </c>
      <c r="B240" s="80" t="s">
        <v>604</v>
      </c>
      <c r="C240" s="235">
        <v>0</v>
      </c>
      <c r="D240" s="80" t="s">
        <v>626</v>
      </c>
      <c r="E240" s="80" t="s">
        <v>604</v>
      </c>
      <c r="F240" s="235">
        <v>0</v>
      </c>
      <c r="G240" s="80" t="s">
        <v>626</v>
      </c>
      <c r="H240" s="80" t="s">
        <v>604</v>
      </c>
      <c r="I240" s="235">
        <v>0</v>
      </c>
      <c r="J240" t="str">
        <f t="shared" ref="J240" si="13">LEFT(A240,3)</f>
        <v>258</v>
      </c>
      <c r="K240" s="83" t="s">
        <v>866</v>
      </c>
      <c r="L240" s="26">
        <f t="shared" si="11"/>
        <v>0</v>
      </c>
    </row>
    <row r="241" spans="1:12" x14ac:dyDescent="0.35">
      <c r="A241" s="80" t="s">
        <v>626</v>
      </c>
      <c r="B241" s="80" t="s">
        <v>604</v>
      </c>
      <c r="C241" s="81">
        <v>0</v>
      </c>
      <c r="D241" s="80" t="s">
        <v>626</v>
      </c>
      <c r="E241" s="80" t="s">
        <v>604</v>
      </c>
      <c r="F241" s="81">
        <v>0</v>
      </c>
      <c r="G241" s="80" t="s">
        <v>626</v>
      </c>
      <c r="H241" s="80" t="s">
        <v>604</v>
      </c>
      <c r="I241" s="81">
        <v>0</v>
      </c>
      <c r="J241" t="str">
        <f t="shared" si="10"/>
        <v>258</v>
      </c>
      <c r="K241" s="83" t="s">
        <v>444</v>
      </c>
      <c r="L241" s="26">
        <f t="shared" si="11"/>
        <v>0</v>
      </c>
    </row>
    <row r="242" spans="1:12" x14ac:dyDescent="0.35">
      <c r="A242" s="80" t="s">
        <v>626</v>
      </c>
      <c r="B242" s="80" t="s">
        <v>604</v>
      </c>
      <c r="C242" s="81">
        <v>0</v>
      </c>
      <c r="D242" s="80" t="s">
        <v>626</v>
      </c>
      <c r="E242" s="80" t="s">
        <v>604</v>
      </c>
      <c r="F242" s="81">
        <v>0</v>
      </c>
      <c r="G242" s="80" t="s">
        <v>626</v>
      </c>
      <c r="H242" s="80" t="s">
        <v>604</v>
      </c>
      <c r="I242" s="81">
        <v>1899.7</v>
      </c>
      <c r="J242" t="str">
        <f t="shared" si="10"/>
        <v>258</v>
      </c>
      <c r="K242" s="83" t="s">
        <v>203</v>
      </c>
      <c r="L242" s="26">
        <f t="shared" si="11"/>
        <v>0</v>
      </c>
    </row>
    <row r="243" spans="1:12" x14ac:dyDescent="0.35">
      <c r="A243" s="84" t="s">
        <v>627</v>
      </c>
      <c r="B243" s="84" t="s">
        <v>628</v>
      </c>
      <c r="C243" s="240">
        <v>453312183.10000002</v>
      </c>
      <c r="D243" s="84" t="s">
        <v>627</v>
      </c>
      <c r="E243" s="84" t="s">
        <v>628</v>
      </c>
      <c r="F243" s="240">
        <v>453312183.10000002</v>
      </c>
      <c r="G243" s="84" t="s">
        <v>627</v>
      </c>
      <c r="H243" s="84" t="s">
        <v>628</v>
      </c>
      <c r="I243" s="236">
        <v>440206793.18000001</v>
      </c>
      <c r="J243" t="str">
        <f t="shared" si="10"/>
        <v>290</v>
      </c>
      <c r="K243" s="77" t="s">
        <v>629</v>
      </c>
      <c r="L243" s="26">
        <f t="shared" si="11"/>
        <v>0</v>
      </c>
    </row>
    <row r="244" spans="1:12" x14ac:dyDescent="0.35">
      <c r="A244" s="80" t="s">
        <v>630</v>
      </c>
      <c r="B244" s="80" t="s">
        <v>631</v>
      </c>
      <c r="C244" s="241">
        <v>51653951.469999999</v>
      </c>
      <c r="D244" s="80" t="s">
        <v>630</v>
      </c>
      <c r="E244" s="80" t="s">
        <v>631</v>
      </c>
      <c r="F244" s="241">
        <v>51653951.469999999</v>
      </c>
      <c r="G244" s="80" t="s">
        <v>630</v>
      </c>
      <c r="H244" s="80" t="s">
        <v>631</v>
      </c>
      <c r="I244" s="235">
        <f>51644425.42-209753.86</f>
        <v>51434671.560000002</v>
      </c>
      <c r="J244" t="str">
        <f t="shared" si="10"/>
        <v>290</v>
      </c>
      <c r="K244" s="77" t="s">
        <v>629</v>
      </c>
      <c r="L244" s="26">
        <f t="shared" si="11"/>
        <v>0</v>
      </c>
    </row>
    <row r="245" spans="1:12" x14ac:dyDescent="0.35">
      <c r="A245" s="80" t="s">
        <v>632</v>
      </c>
      <c r="B245" s="80" t="s">
        <v>633</v>
      </c>
      <c r="C245" s="241">
        <v>653316452.42999995</v>
      </c>
      <c r="D245" s="80" t="s">
        <v>632</v>
      </c>
      <c r="E245" s="80" t="s">
        <v>633</v>
      </c>
      <c r="F245" s="241">
        <v>653316452.42999995</v>
      </c>
      <c r="G245" s="80" t="s">
        <v>632</v>
      </c>
      <c r="H245" s="80" t="s">
        <v>633</v>
      </c>
      <c r="I245" s="236">
        <f>1074766951.47+209753.86</f>
        <v>1074976705.3299999</v>
      </c>
      <c r="J245" t="str">
        <f t="shared" si="10"/>
        <v>298</v>
      </c>
      <c r="K245" s="77" t="s">
        <v>629</v>
      </c>
      <c r="L245" s="26">
        <f t="shared" si="11"/>
        <v>0</v>
      </c>
    </row>
    <row r="246" spans="1:12" x14ac:dyDescent="0.35">
      <c r="A246" s="84" t="s">
        <v>634</v>
      </c>
      <c r="B246" s="84" t="s">
        <v>635</v>
      </c>
      <c r="C246" s="240">
        <v>-521869156.20999998</v>
      </c>
      <c r="D246" s="84" t="s">
        <v>634</v>
      </c>
      <c r="E246" s="84" t="s">
        <v>635</v>
      </c>
      <c r="F246" s="240">
        <v>-521869156.20999998</v>
      </c>
      <c r="G246" s="84" t="s">
        <v>634</v>
      </c>
      <c r="H246" s="84" t="s">
        <v>635</v>
      </c>
      <c r="I246" s="235">
        <v>-954011033.27999997</v>
      </c>
      <c r="J246" t="str">
        <f t="shared" si="10"/>
        <v>299</v>
      </c>
      <c r="K246" s="77" t="s">
        <v>629</v>
      </c>
      <c r="L246" s="26">
        <f t="shared" si="11"/>
        <v>0</v>
      </c>
    </row>
    <row r="248" spans="1:12" x14ac:dyDescent="0.35">
      <c r="I248" s="26"/>
      <c r="L248" s="26"/>
    </row>
    <row r="249" spans="1:12" x14ac:dyDescent="0.35">
      <c r="I249" s="26"/>
    </row>
  </sheetData>
  <autoFilter ref="A8:K246" xr:uid="{A572CA17-EE11-4023-A22F-D18D7CB90FB2}"/>
  <mergeCells count="6">
    <mergeCell ref="A1:C1"/>
    <mergeCell ref="D1:F1"/>
    <mergeCell ref="A2:C2"/>
    <mergeCell ref="D2:F2"/>
    <mergeCell ref="G2:I2"/>
    <mergeCell ref="G1:I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05041-F203-4B07-A527-A1465022EAA7}">
  <dimension ref="A1:S141"/>
  <sheetViews>
    <sheetView topLeftCell="A100" workbookViewId="0">
      <selection activeCell="G121" sqref="G121"/>
    </sheetView>
  </sheetViews>
  <sheetFormatPr defaultRowHeight="14.5" x14ac:dyDescent="0.35"/>
  <cols>
    <col min="1" max="1" width="27.54296875" customWidth="1"/>
    <col min="2" max="2" width="20.81640625" customWidth="1"/>
    <col min="3" max="3" width="20.7265625" customWidth="1"/>
    <col min="4" max="4" width="20.54296875" customWidth="1"/>
    <col min="5" max="5" width="14.7265625" customWidth="1"/>
    <col min="6" max="6" width="19.453125" customWidth="1"/>
    <col min="7" max="7" width="16.81640625" customWidth="1"/>
    <col min="9" max="9" width="17" customWidth="1"/>
    <col min="10" max="10" width="18.54296875" customWidth="1"/>
    <col min="11" max="11" width="16.1796875" customWidth="1"/>
    <col min="12" max="12" width="13.81640625" customWidth="1"/>
    <col min="13" max="13" width="18.1796875" customWidth="1"/>
    <col min="14" max="14" width="19" customWidth="1"/>
    <col min="15" max="15" width="27.54296875" style="115" customWidth="1"/>
    <col min="16" max="16" width="20.81640625" style="173" customWidth="1"/>
    <col min="17" max="17" width="20.7265625" style="173" customWidth="1"/>
    <col min="18" max="18" width="20.54296875" style="173" customWidth="1"/>
    <col min="19" max="19" width="19.453125" style="173" customWidth="1"/>
  </cols>
  <sheetData>
    <row r="1" spans="1:19" x14ac:dyDescent="0.35">
      <c r="A1" s="87" t="s">
        <v>1029</v>
      </c>
      <c r="B1" s="88"/>
      <c r="C1" s="88">
        <f>15006746756.4-6438179.6-50576478.59+2576.75-1.27</f>
        <v>14949734673.689999</v>
      </c>
      <c r="D1" s="89">
        <f>C1-C14</f>
        <v>0</v>
      </c>
      <c r="E1" s="90"/>
      <c r="F1" s="26"/>
      <c r="G1" s="26"/>
      <c r="H1" s="87" t="s">
        <v>918</v>
      </c>
      <c r="I1" s="88"/>
      <c r="J1" s="88">
        <f>11773024056-28873418.71-6329676.76+161.63</f>
        <v>11737821122.16</v>
      </c>
      <c r="K1" s="89"/>
      <c r="L1" s="90"/>
      <c r="M1" s="26"/>
      <c r="N1" s="91"/>
      <c r="O1" s="170" t="s">
        <v>1029</v>
      </c>
      <c r="P1" s="171"/>
      <c r="Q1" s="171"/>
      <c r="R1" s="172"/>
    </row>
    <row r="2" spans="1:19" ht="58" x14ac:dyDescent="0.35">
      <c r="A2" s="92"/>
      <c r="B2" s="93" t="s">
        <v>2</v>
      </c>
      <c r="C2" s="94" t="s">
        <v>777</v>
      </c>
      <c r="D2" s="94" t="s">
        <v>637</v>
      </c>
      <c r="E2" s="94" t="s">
        <v>638</v>
      </c>
      <c r="F2" s="94" t="s">
        <v>639</v>
      </c>
      <c r="H2" s="92"/>
      <c r="I2" s="93" t="s">
        <v>2</v>
      </c>
      <c r="J2" s="94" t="s">
        <v>636</v>
      </c>
      <c r="K2" s="94" t="s">
        <v>640</v>
      </c>
      <c r="L2" s="94" t="s">
        <v>638</v>
      </c>
      <c r="M2" s="94" t="s">
        <v>639</v>
      </c>
      <c r="N2" s="26"/>
      <c r="O2" s="131"/>
      <c r="P2" s="174" t="s">
        <v>2</v>
      </c>
      <c r="Q2" s="175" t="s">
        <v>777</v>
      </c>
      <c r="R2" s="175" t="s">
        <v>637</v>
      </c>
      <c r="S2" s="175" t="s">
        <v>639</v>
      </c>
    </row>
    <row r="3" spans="1:19" x14ac:dyDescent="0.35">
      <c r="A3" s="3" t="s">
        <v>641</v>
      </c>
      <c r="B3" s="93">
        <v>3703168000</v>
      </c>
      <c r="C3" s="95">
        <f>4131252047.72-5947850.44-9112233.79</f>
        <v>4116191963.4899998</v>
      </c>
      <c r="D3" s="53">
        <v>4218751792.0799999</v>
      </c>
      <c r="E3" s="96">
        <f>D3/B3</f>
        <v>1.1392277617650617</v>
      </c>
      <c r="F3" s="53">
        <f t="shared" ref="F3:F13" si="0">C3-D3</f>
        <v>-102559828.59000015</v>
      </c>
      <c r="H3" s="3" t="s">
        <v>641</v>
      </c>
      <c r="I3" s="93">
        <f>1876382000+615506000+849194000+8561000</f>
        <v>3349643000</v>
      </c>
      <c r="J3" s="95">
        <f>3873062974.34-4700816.31-1361602.31</f>
        <v>3867000555.7200003</v>
      </c>
      <c r="K3" s="53">
        <f>3558363787.23</f>
        <v>3558363787.23</v>
      </c>
      <c r="L3" s="96">
        <f>K3/I3</f>
        <v>1.0623113529501502</v>
      </c>
      <c r="M3" s="53">
        <f t="shared" ref="M3:M13" si="1">J3-K3</f>
        <v>308636768.49000025</v>
      </c>
      <c r="O3" s="137" t="s">
        <v>641</v>
      </c>
      <c r="P3" s="174">
        <f>ROUND(B3/1000,0)</f>
        <v>3703168</v>
      </c>
      <c r="Q3" s="174">
        <f t="shared" ref="Q3:R3" si="2">ROUND(C3/1000,0)</f>
        <v>4116192</v>
      </c>
      <c r="R3" s="174">
        <f t="shared" si="2"/>
        <v>4218752</v>
      </c>
      <c r="S3" s="174">
        <f>ROUND(F3/1000,0)</f>
        <v>-102560</v>
      </c>
    </row>
    <row r="4" spans="1:19" x14ac:dyDescent="0.35">
      <c r="A4" s="3" t="s">
        <v>642</v>
      </c>
      <c r="B4" s="93">
        <v>5107021000</v>
      </c>
      <c r="C4" s="95">
        <f>5159275463.17-12770783.46</f>
        <v>5146504679.71</v>
      </c>
      <c r="D4" s="53">
        <v>5142838760.2700005</v>
      </c>
      <c r="E4" s="96">
        <f t="shared" ref="E4:E14" si="3">D4/B4</f>
        <v>1.007013435086717</v>
      </c>
      <c r="F4" s="53">
        <f t="shared" si="0"/>
        <v>3665919.4399995804</v>
      </c>
      <c r="H4" s="3" t="s">
        <v>642</v>
      </c>
      <c r="I4" s="93">
        <f>4969586000-6752000</f>
        <v>4962834000</v>
      </c>
      <c r="J4" s="95">
        <f>4902082199-11931630.29</f>
        <v>4890150568.71</v>
      </c>
      <c r="K4" s="53">
        <v>4854219902.0600004</v>
      </c>
      <c r="L4" s="96">
        <f t="shared" ref="L4:L14" si="4">K4/I4</f>
        <v>0.97811450112173814</v>
      </c>
      <c r="M4" s="53">
        <f t="shared" si="1"/>
        <v>35930666.649999619</v>
      </c>
      <c r="O4" s="137" t="s">
        <v>642</v>
      </c>
      <c r="P4" s="174">
        <f t="shared" ref="P4:P14" si="5">ROUND(B4/1000,0)</f>
        <v>5107021</v>
      </c>
      <c r="Q4" s="174">
        <f t="shared" ref="Q4:Q14" si="6">ROUND(C4/1000,0)</f>
        <v>5146505</v>
      </c>
      <c r="R4" s="174">
        <f t="shared" ref="R4:R21" si="7">ROUND(D4/1000,0)</f>
        <v>5142839</v>
      </c>
      <c r="S4" s="174">
        <f t="shared" ref="S4:S14" si="8">ROUND(F4/1000,0)</f>
        <v>3666</v>
      </c>
    </row>
    <row r="5" spans="1:19" x14ac:dyDescent="0.35">
      <c r="A5" s="3" t="s">
        <v>216</v>
      </c>
      <c r="B5" s="93">
        <v>322000000</v>
      </c>
      <c r="C5" s="95">
        <f>328451696.78-657780.73</f>
        <v>327793916.04999995</v>
      </c>
      <c r="D5" s="53">
        <v>327347478.88</v>
      </c>
      <c r="E5" s="96">
        <f t="shared" si="3"/>
        <v>1.0166070772670808</v>
      </c>
      <c r="F5" s="53">
        <f t="shared" si="0"/>
        <v>446437.16999995708</v>
      </c>
      <c r="H5" s="3" t="s">
        <v>216</v>
      </c>
      <c r="I5" s="93">
        <v>313000000</v>
      </c>
      <c r="J5" s="95">
        <f>311636210.38-598427.22</f>
        <v>311037783.15999997</v>
      </c>
      <c r="K5" s="53">
        <v>308775101.93000001</v>
      </c>
      <c r="L5" s="96">
        <f t="shared" si="4"/>
        <v>0.98650192309904161</v>
      </c>
      <c r="M5" s="53">
        <f t="shared" si="1"/>
        <v>2262681.2299999595</v>
      </c>
      <c r="O5" s="137" t="s">
        <v>216</v>
      </c>
      <c r="P5" s="174">
        <f t="shared" si="5"/>
        <v>322000</v>
      </c>
      <c r="Q5" s="174">
        <f t="shared" si="6"/>
        <v>327794</v>
      </c>
      <c r="R5" s="174">
        <f t="shared" si="7"/>
        <v>327347</v>
      </c>
      <c r="S5" s="174">
        <f t="shared" si="8"/>
        <v>446</v>
      </c>
    </row>
    <row r="6" spans="1:19" x14ac:dyDescent="0.35">
      <c r="A6" s="3" t="s">
        <v>218</v>
      </c>
      <c r="B6" s="93">
        <v>247000000</v>
      </c>
      <c r="C6" s="95">
        <f>255502664.65-58237.06</f>
        <v>255444427.59</v>
      </c>
      <c r="D6" s="53">
        <v>249345025.06</v>
      </c>
      <c r="E6" s="96">
        <f t="shared" si="3"/>
        <v>1.0094940285829959</v>
      </c>
      <c r="F6" s="53">
        <f t="shared" si="0"/>
        <v>6099402.5300000012</v>
      </c>
      <c r="H6" s="3" t="s">
        <v>218</v>
      </c>
      <c r="I6" s="93">
        <v>186000000</v>
      </c>
      <c r="J6" s="95">
        <f>179018136.09+44129.53</f>
        <v>179062265.62</v>
      </c>
      <c r="K6" s="53">
        <v>178032845.28999999</v>
      </c>
      <c r="L6" s="96">
        <f t="shared" si="4"/>
        <v>0.95716583489247309</v>
      </c>
      <c r="M6" s="53">
        <f t="shared" si="1"/>
        <v>1029420.3300000131</v>
      </c>
      <c r="O6" s="137" t="s">
        <v>218</v>
      </c>
      <c r="P6" s="174">
        <f t="shared" si="5"/>
        <v>247000</v>
      </c>
      <c r="Q6" s="174">
        <f t="shared" si="6"/>
        <v>255444</v>
      </c>
      <c r="R6" s="174">
        <f t="shared" si="7"/>
        <v>249345</v>
      </c>
      <c r="S6" s="174">
        <f t="shared" si="8"/>
        <v>6099</v>
      </c>
    </row>
    <row r="7" spans="1:19" x14ac:dyDescent="0.35">
      <c r="A7" s="3" t="s">
        <v>209</v>
      </c>
      <c r="B7" s="93">
        <v>4235689000</v>
      </c>
      <c r="C7" s="95">
        <f>3750270025.11-21421191.21</f>
        <v>3728848833.9000001</v>
      </c>
      <c r="D7" s="53">
        <v>4163596785.23</v>
      </c>
      <c r="E7" s="96">
        <f t="shared" si="3"/>
        <v>0.98297981396415079</v>
      </c>
      <c r="F7" s="53">
        <f t="shared" si="0"/>
        <v>-434747951.32999992</v>
      </c>
      <c r="H7" s="3" t="s">
        <v>209</v>
      </c>
      <c r="I7" s="93">
        <f>4079008000-12309000</f>
        <v>4066699000</v>
      </c>
      <c r="J7" s="95">
        <f>3502928398.48-23269216.18</f>
        <v>3479659182.3000002</v>
      </c>
      <c r="K7" s="53">
        <v>3785154253.48</v>
      </c>
      <c r="L7" s="96">
        <f t="shared" si="4"/>
        <v>0.93076823573124046</v>
      </c>
      <c r="M7" s="53">
        <f t="shared" si="1"/>
        <v>-305495071.17999983</v>
      </c>
      <c r="O7" s="137" t="s">
        <v>209</v>
      </c>
      <c r="P7" s="174">
        <f t="shared" si="5"/>
        <v>4235689</v>
      </c>
      <c r="Q7" s="174">
        <f t="shared" si="6"/>
        <v>3728849</v>
      </c>
      <c r="R7" s="174">
        <f t="shared" si="7"/>
        <v>4163597</v>
      </c>
      <c r="S7" s="174">
        <f t="shared" si="8"/>
        <v>-434748</v>
      </c>
    </row>
    <row r="8" spans="1:19" x14ac:dyDescent="0.35">
      <c r="A8" s="3" t="s">
        <v>643</v>
      </c>
      <c r="B8" s="93">
        <v>1097890000</v>
      </c>
      <c r="C8" s="95">
        <f>1087251079.9-74773.6</f>
        <v>1087176306.3000002</v>
      </c>
      <c r="D8" s="53">
        <v>1075008258.1500001</v>
      </c>
      <c r="E8" s="96">
        <f t="shared" si="3"/>
        <v>0.97915843859585217</v>
      </c>
      <c r="F8" s="53">
        <f t="shared" si="0"/>
        <v>12168048.150000095</v>
      </c>
      <c r="H8" s="3" t="s">
        <v>643</v>
      </c>
      <c r="I8" s="93">
        <f>1035764000-2250000</f>
        <v>1033514000</v>
      </c>
      <c r="J8" s="95">
        <f>1027746009.7+1192.79</f>
        <v>1027747202.49</v>
      </c>
      <c r="K8" s="53">
        <v>1025995240.04</v>
      </c>
      <c r="L8" s="96">
        <f t="shared" si="4"/>
        <v>0.99272505262628274</v>
      </c>
      <c r="M8" s="53">
        <f t="shared" si="1"/>
        <v>1751962.4500000477</v>
      </c>
      <c r="O8" s="137" t="s">
        <v>643</v>
      </c>
      <c r="P8" s="174">
        <f t="shared" si="5"/>
        <v>1097890</v>
      </c>
      <c r="Q8" s="174">
        <f t="shared" si="6"/>
        <v>1087176</v>
      </c>
      <c r="R8" s="174">
        <f t="shared" si="7"/>
        <v>1075008</v>
      </c>
      <c r="S8" s="174">
        <f t="shared" si="8"/>
        <v>12168</v>
      </c>
    </row>
    <row r="9" spans="1:19" x14ac:dyDescent="0.35">
      <c r="A9" s="3" t="s">
        <v>644</v>
      </c>
      <c r="B9" s="95">
        <v>4600000</v>
      </c>
      <c r="C9" s="95">
        <f>4603946.07-35570.42</f>
        <v>4568375.6500000004</v>
      </c>
      <c r="D9" s="95">
        <v>4580075.66</v>
      </c>
      <c r="E9" s="96">
        <f t="shared" si="3"/>
        <v>0.99566862173913051</v>
      </c>
      <c r="F9" s="53">
        <f t="shared" si="0"/>
        <v>-11700.009999999776</v>
      </c>
      <c r="H9" s="3" t="s">
        <v>644</v>
      </c>
      <c r="I9" s="95">
        <v>4900000</v>
      </c>
      <c r="J9" s="95">
        <f>4784684.93-32195.55</f>
        <v>4752489.38</v>
      </c>
      <c r="K9" s="95">
        <v>4748627.45</v>
      </c>
      <c r="L9" s="96">
        <f t="shared" si="4"/>
        <v>0.9691076428571429</v>
      </c>
      <c r="M9" s="53">
        <f t="shared" si="1"/>
        <v>3861.929999999702</v>
      </c>
      <c r="O9" s="137" t="s">
        <v>644</v>
      </c>
      <c r="P9" s="174">
        <f t="shared" si="5"/>
        <v>4600</v>
      </c>
      <c r="Q9" s="174">
        <f t="shared" si="6"/>
        <v>4568</v>
      </c>
      <c r="R9" s="174">
        <f t="shared" si="7"/>
        <v>4580</v>
      </c>
      <c r="S9" s="174">
        <f t="shared" si="8"/>
        <v>-12</v>
      </c>
    </row>
    <row r="10" spans="1:19" x14ac:dyDescent="0.35">
      <c r="A10" s="3" t="s">
        <v>1146</v>
      </c>
      <c r="B10" s="95">
        <f>86700000</f>
        <v>86700000</v>
      </c>
      <c r="C10" s="95">
        <f>93489699.36-172110.71</f>
        <v>93317588.650000006</v>
      </c>
      <c r="D10" s="95">
        <v>87140168.090000004</v>
      </c>
      <c r="E10" s="96">
        <f t="shared" si="3"/>
        <v>1.0050769099192618</v>
      </c>
      <c r="F10" s="53">
        <f t="shared" si="0"/>
        <v>6177420.5600000024</v>
      </c>
      <c r="H10" s="3"/>
      <c r="I10" s="95"/>
      <c r="J10" s="95"/>
      <c r="K10" s="95"/>
      <c r="L10" s="96"/>
      <c r="M10" s="53"/>
      <c r="O10" s="137"/>
      <c r="P10" s="174">
        <f t="shared" si="5"/>
        <v>86700</v>
      </c>
      <c r="Q10" s="174">
        <f t="shared" si="6"/>
        <v>93318</v>
      </c>
      <c r="R10" s="174">
        <f t="shared" si="7"/>
        <v>87140</v>
      </c>
      <c r="S10" s="174"/>
    </row>
    <row r="11" spans="1:19" x14ac:dyDescent="0.35">
      <c r="A11" s="3" t="s">
        <v>226</v>
      </c>
      <c r="B11" s="95">
        <v>44999000</v>
      </c>
      <c r="C11" s="95">
        <f>48731439.67-2373.13</f>
        <v>48729066.539999999</v>
      </c>
      <c r="D11" s="95">
        <v>50458596.409999996</v>
      </c>
      <c r="E11" s="96">
        <f t="shared" si="3"/>
        <v>1.1213270608235737</v>
      </c>
      <c r="F11" s="53">
        <f t="shared" si="0"/>
        <v>-1729529.8699999973</v>
      </c>
      <c r="H11" s="3" t="s">
        <v>226</v>
      </c>
      <c r="I11" s="95">
        <v>42300000</v>
      </c>
      <c r="J11" s="95">
        <f>44709274.61+1580.79</f>
        <v>44710855.399999999</v>
      </c>
      <c r="K11" s="95">
        <v>44830096.060000002</v>
      </c>
      <c r="L11" s="96">
        <f t="shared" si="4"/>
        <v>1.0598131456264777</v>
      </c>
      <c r="M11" s="53">
        <f t="shared" si="1"/>
        <v>-119240.66000000387</v>
      </c>
      <c r="O11" s="137" t="s">
        <v>226</v>
      </c>
      <c r="P11" s="174">
        <f t="shared" si="5"/>
        <v>44999</v>
      </c>
      <c r="Q11" s="174">
        <f t="shared" si="6"/>
        <v>48729</v>
      </c>
      <c r="R11" s="174">
        <f t="shared" si="7"/>
        <v>50459</v>
      </c>
      <c r="S11" s="174">
        <f t="shared" si="8"/>
        <v>-1730</v>
      </c>
    </row>
    <row r="12" spans="1:19" x14ac:dyDescent="0.35">
      <c r="A12" s="3" t="s">
        <v>222</v>
      </c>
      <c r="B12" s="95">
        <v>80000000</v>
      </c>
      <c r="C12" s="95">
        <f>79385983.27-320998.56</f>
        <v>79064984.709999993</v>
      </c>
      <c r="D12" s="95">
        <v>80533808.670000002</v>
      </c>
      <c r="E12" s="96">
        <f t="shared" si="3"/>
        <v>1.0066726083749999</v>
      </c>
      <c r="F12" s="53">
        <f t="shared" si="0"/>
        <v>-1468823.9600000083</v>
      </c>
      <c r="H12" s="3" t="s">
        <v>222</v>
      </c>
      <c r="I12" s="95">
        <v>58000000</v>
      </c>
      <c r="J12" s="95">
        <f>57198596.7-194053.01</f>
        <v>57004543.690000005</v>
      </c>
      <c r="K12" s="95">
        <v>58465007.420000002</v>
      </c>
      <c r="L12" s="96">
        <f t="shared" si="4"/>
        <v>1.0080173693103449</v>
      </c>
      <c r="M12" s="53">
        <f t="shared" si="1"/>
        <v>-1460463.7299999967</v>
      </c>
      <c r="O12" s="137" t="s">
        <v>222</v>
      </c>
      <c r="P12" s="174">
        <f t="shared" si="5"/>
        <v>80000</v>
      </c>
      <c r="Q12" s="174">
        <f t="shared" si="6"/>
        <v>79065</v>
      </c>
      <c r="R12" s="174">
        <f t="shared" si="7"/>
        <v>80534</v>
      </c>
      <c r="S12" s="174">
        <f t="shared" si="8"/>
        <v>-1469</v>
      </c>
    </row>
    <row r="13" spans="1:19" x14ac:dyDescent="0.35">
      <c r="A13" s="3" t="s">
        <v>645</v>
      </c>
      <c r="B13" s="95">
        <v>59800000</v>
      </c>
      <c r="C13" s="95">
        <v>62094531.100000001</v>
      </c>
      <c r="D13" s="95">
        <v>61347760.689999998</v>
      </c>
      <c r="E13" s="96">
        <f t="shared" si="3"/>
        <v>1.0258822857859531</v>
      </c>
      <c r="F13" s="53">
        <f t="shared" si="0"/>
        <v>746770.41000000387</v>
      </c>
      <c r="H13" s="3" t="s">
        <v>645</v>
      </c>
      <c r="I13" s="95">
        <v>59100000</v>
      </c>
      <c r="J13" s="95">
        <v>58094354.289999999</v>
      </c>
      <c r="K13" s="95">
        <v>57133818.280000001</v>
      </c>
      <c r="L13" s="96">
        <f t="shared" si="4"/>
        <v>0.96673127377326562</v>
      </c>
      <c r="M13" s="53">
        <f t="shared" si="1"/>
        <v>960536.00999999791</v>
      </c>
      <c r="O13" s="137" t="s">
        <v>645</v>
      </c>
      <c r="P13" s="174">
        <f t="shared" si="5"/>
        <v>59800</v>
      </c>
      <c r="Q13" s="174">
        <f t="shared" si="6"/>
        <v>62095</v>
      </c>
      <c r="R13" s="174">
        <f t="shared" si="7"/>
        <v>61348</v>
      </c>
      <c r="S13" s="174">
        <f t="shared" si="8"/>
        <v>747</v>
      </c>
    </row>
    <row r="14" spans="1:19" x14ac:dyDescent="0.35">
      <c r="A14" s="97" t="s">
        <v>647</v>
      </c>
      <c r="B14" s="98">
        <f>SUM(B3:B13)</f>
        <v>14988867000</v>
      </c>
      <c r="C14" s="98">
        <f>SUM(C3:C13)</f>
        <v>14949734673.690001</v>
      </c>
      <c r="D14" s="98">
        <f>SUM(D3:D13)</f>
        <v>15460948509.189999</v>
      </c>
      <c r="E14" s="99">
        <f t="shared" si="3"/>
        <v>1.0314954765553659</v>
      </c>
      <c r="F14" s="98">
        <f>SUM(F3:F13)</f>
        <v>-511213835.50000042</v>
      </c>
      <c r="H14" s="97" t="s">
        <v>647</v>
      </c>
      <c r="I14" s="98">
        <f>SUM(I3:I13)</f>
        <v>14075990000</v>
      </c>
      <c r="J14" s="98">
        <f>SUM(J3:J13)</f>
        <v>13919219800.760002</v>
      </c>
      <c r="K14" s="98">
        <f>SUM(K3:K13)</f>
        <v>13875718679.240004</v>
      </c>
      <c r="L14" s="99">
        <f t="shared" si="4"/>
        <v>0.98577213249227968</v>
      </c>
      <c r="M14" s="98">
        <f>SUM(M3:M13)</f>
        <v>43501121.520000026</v>
      </c>
      <c r="O14" s="129" t="s">
        <v>647</v>
      </c>
      <c r="P14" s="176">
        <f t="shared" si="5"/>
        <v>14988867</v>
      </c>
      <c r="Q14" s="176">
        <f t="shared" si="6"/>
        <v>14949735</v>
      </c>
      <c r="R14" s="176">
        <f t="shared" si="7"/>
        <v>15460949</v>
      </c>
      <c r="S14" s="176">
        <f t="shared" si="8"/>
        <v>-511214</v>
      </c>
    </row>
    <row r="15" spans="1:19" x14ac:dyDescent="0.35">
      <c r="A15" s="59" t="s">
        <v>648</v>
      </c>
      <c r="B15" s="59"/>
      <c r="C15" s="59"/>
      <c r="D15" s="59">
        <f>SUM(D16:D21)</f>
        <v>32458228.190000176</v>
      </c>
      <c r="E15" s="59"/>
      <c r="F15" s="59"/>
      <c r="H15" s="59" t="s">
        <v>648</v>
      </c>
      <c r="I15" s="59"/>
      <c r="J15" s="59"/>
      <c r="K15" s="59">
        <f>SUM(K16:K21)</f>
        <v>100182309.69</v>
      </c>
      <c r="L15" s="59"/>
      <c r="M15" s="59"/>
      <c r="O15" s="67" t="s">
        <v>648</v>
      </c>
      <c r="P15" s="133"/>
      <c r="Q15" s="133"/>
      <c r="R15" s="176">
        <f t="shared" si="7"/>
        <v>32458</v>
      </c>
      <c r="S15" s="133"/>
    </row>
    <row r="16" spans="1:19" x14ac:dyDescent="0.35">
      <c r="A16" s="53" t="s">
        <v>649</v>
      </c>
      <c r="B16" s="100"/>
      <c r="C16" s="101"/>
      <c r="D16" s="66">
        <v>-411318936.44999999</v>
      </c>
      <c r="E16" s="53"/>
      <c r="F16" s="53"/>
      <c r="H16" s="53" t="s">
        <v>649</v>
      </c>
      <c r="I16" s="100"/>
      <c r="J16" s="101"/>
      <c r="K16" s="66">
        <v>-350160285.49000001</v>
      </c>
      <c r="L16" s="53"/>
      <c r="M16" s="53"/>
      <c r="O16" s="177" t="s">
        <v>649</v>
      </c>
      <c r="P16" s="168"/>
      <c r="Q16" s="178"/>
      <c r="R16" s="174">
        <f t="shared" si="7"/>
        <v>-411319</v>
      </c>
      <c r="S16" s="130"/>
    </row>
    <row r="17" spans="1:19" x14ac:dyDescent="0.35">
      <c r="A17" s="53" t="s">
        <v>650</v>
      </c>
      <c r="B17" s="100"/>
      <c r="C17" s="101"/>
      <c r="D17" s="53">
        <v>-111250068.90000001</v>
      </c>
      <c r="E17" s="53"/>
      <c r="F17" s="53"/>
      <c r="H17" s="53" t="s">
        <v>650</v>
      </c>
      <c r="I17" s="100"/>
      <c r="J17" s="101"/>
      <c r="K17" s="53">
        <v>-107306760.36</v>
      </c>
      <c r="L17" s="53"/>
      <c r="M17" s="53"/>
      <c r="O17" s="177" t="s">
        <v>650</v>
      </c>
      <c r="P17" s="168"/>
      <c r="Q17" s="178"/>
      <c r="R17" s="174">
        <f t="shared" si="7"/>
        <v>-111250</v>
      </c>
      <c r="S17" s="130"/>
    </row>
    <row r="18" spans="1:19" x14ac:dyDescent="0.35">
      <c r="A18" s="53" t="s">
        <v>651</v>
      </c>
      <c r="B18" s="100"/>
      <c r="C18" s="101"/>
      <c r="D18" s="66">
        <v>-456731711.19</v>
      </c>
      <c r="E18" s="53"/>
      <c r="F18" s="53"/>
      <c r="H18" s="53" t="s">
        <v>651</v>
      </c>
      <c r="I18" s="100"/>
      <c r="J18" s="101"/>
      <c r="K18" s="66">
        <v>-421651361</v>
      </c>
      <c r="L18" s="53"/>
      <c r="M18" s="53"/>
      <c r="O18" s="177" t="s">
        <v>651</v>
      </c>
      <c r="P18" s="168"/>
      <c r="Q18" s="178"/>
      <c r="R18" s="174">
        <f t="shared" si="7"/>
        <v>-456732</v>
      </c>
      <c r="S18" s="130"/>
    </row>
    <row r="19" spans="1:19" x14ac:dyDescent="0.35">
      <c r="A19" s="53" t="s">
        <v>652</v>
      </c>
      <c r="B19" s="53"/>
      <c r="C19" s="53"/>
      <c r="D19" s="66">
        <v>423573342.91000003</v>
      </c>
      <c r="E19" s="53"/>
      <c r="F19" s="53"/>
      <c r="H19" s="53" t="s">
        <v>652</v>
      </c>
      <c r="I19" s="53"/>
      <c r="J19" s="53"/>
      <c r="K19" s="66">
        <v>411318936.44999999</v>
      </c>
      <c r="L19" s="53"/>
      <c r="M19" s="53"/>
      <c r="O19" s="177" t="s">
        <v>652</v>
      </c>
      <c r="P19" s="130"/>
      <c r="Q19" s="130"/>
      <c r="R19" s="174">
        <f t="shared" si="7"/>
        <v>423573</v>
      </c>
      <c r="S19" s="130"/>
    </row>
    <row r="20" spans="1:19" x14ac:dyDescent="0.35">
      <c r="A20" s="53" t="s">
        <v>653</v>
      </c>
      <c r="B20" s="53"/>
      <c r="C20" s="53"/>
      <c r="D20" s="53">
        <v>123795569.59</v>
      </c>
      <c r="E20" s="53"/>
      <c r="F20" s="53"/>
      <c r="H20" s="53" t="s">
        <v>653</v>
      </c>
      <c r="I20" s="53"/>
      <c r="J20" s="53"/>
      <c r="K20" s="53">
        <v>111250068.90000001</v>
      </c>
      <c r="L20" s="53"/>
      <c r="M20" s="53"/>
      <c r="O20" s="177" t="s">
        <v>653</v>
      </c>
      <c r="P20" s="130"/>
      <c r="Q20" s="130"/>
      <c r="R20" s="174">
        <f t="shared" si="7"/>
        <v>123796</v>
      </c>
      <c r="S20" s="130"/>
    </row>
    <row r="21" spans="1:19" x14ac:dyDescent="0.35">
      <c r="A21" s="53" t="s">
        <v>654</v>
      </c>
      <c r="B21" s="53"/>
      <c r="C21" s="53"/>
      <c r="D21" s="66">
        <v>464390032.23000002</v>
      </c>
      <c r="E21" s="53"/>
      <c r="F21" s="53"/>
      <c r="H21" s="53" t="s">
        <v>654</v>
      </c>
      <c r="I21" s="53"/>
      <c r="J21" s="53"/>
      <c r="K21" s="66">
        <v>456731711.19</v>
      </c>
      <c r="L21" s="53"/>
      <c r="M21" s="53"/>
      <c r="O21" s="177" t="s">
        <v>654</v>
      </c>
      <c r="P21" s="130"/>
      <c r="Q21" s="130"/>
      <c r="R21" s="174">
        <f t="shared" si="7"/>
        <v>464390</v>
      </c>
      <c r="S21" s="130"/>
    </row>
    <row r="22" spans="1:19" x14ac:dyDescent="0.35">
      <c r="A22" s="59" t="s">
        <v>655</v>
      </c>
      <c r="B22" s="59">
        <f>B14</f>
        <v>14988867000</v>
      </c>
      <c r="C22" s="59">
        <f t="shared" ref="C22" si="9">C14</f>
        <v>14949734673.690001</v>
      </c>
      <c r="D22" s="59">
        <f t="shared" ref="D22" si="10">D14+D15</f>
        <v>15493406737.379999</v>
      </c>
      <c r="E22" s="99">
        <f t="shared" ref="E22" si="11">D22/B22</f>
        <v>1.0336609656607134</v>
      </c>
      <c r="F22" s="59">
        <f>C22-D22</f>
        <v>-543672063.68999863</v>
      </c>
      <c r="H22" s="59" t="s">
        <v>655</v>
      </c>
      <c r="I22" s="59">
        <f>I14</f>
        <v>14075990000</v>
      </c>
      <c r="J22" s="59">
        <f t="shared" ref="J22" si="12">J14</f>
        <v>13919219800.760002</v>
      </c>
      <c r="K22" s="59">
        <f t="shared" ref="K22" si="13">K14+K15</f>
        <v>13975900988.930004</v>
      </c>
      <c r="L22" s="99">
        <f t="shared" ref="L22" si="14">K22/I22</f>
        <v>0.99288938035122243</v>
      </c>
      <c r="M22" s="59">
        <f>J22-K22</f>
        <v>-56681188.170001984</v>
      </c>
      <c r="O22" s="67" t="s">
        <v>655</v>
      </c>
      <c r="P22" s="176">
        <f t="shared" ref="P22:R34" si="15">ROUND(B22/1000,0)</f>
        <v>14988867</v>
      </c>
      <c r="Q22" s="176">
        <f t="shared" si="15"/>
        <v>14949735</v>
      </c>
      <c r="R22" s="176">
        <f t="shared" si="15"/>
        <v>15493407</v>
      </c>
      <c r="S22" s="176">
        <f>ROUND(F22/1000,0)</f>
        <v>-543672</v>
      </c>
    </row>
    <row r="23" spans="1:19" x14ac:dyDescent="0.35">
      <c r="A23" s="59" t="s">
        <v>656</v>
      </c>
      <c r="B23" s="59"/>
      <c r="C23" s="59">
        <f>SUM(C24:C31)</f>
        <v>465541708.92999995</v>
      </c>
      <c r="D23" s="59"/>
      <c r="E23" s="59"/>
      <c r="F23" s="59"/>
      <c r="H23" s="59" t="s">
        <v>656</v>
      </c>
      <c r="I23" s="59"/>
      <c r="J23" s="59">
        <f>SUM(J24:J31)</f>
        <v>340993368.5</v>
      </c>
      <c r="K23" s="59"/>
      <c r="L23" s="59"/>
      <c r="M23" s="59"/>
      <c r="O23" s="67" t="s">
        <v>656</v>
      </c>
      <c r="P23" s="133"/>
      <c r="Q23" s="176">
        <f t="shared" si="15"/>
        <v>465542</v>
      </c>
      <c r="R23" s="133"/>
      <c r="S23" s="133"/>
    </row>
    <row r="24" spans="1:19" x14ac:dyDescent="0.35">
      <c r="A24" s="53" t="s">
        <v>657</v>
      </c>
      <c r="B24" s="53"/>
      <c r="C24" s="53">
        <v>267446790.59999999</v>
      </c>
      <c r="D24" s="53"/>
      <c r="E24" s="53"/>
      <c r="F24" s="53"/>
      <c r="G24" s="26"/>
      <c r="H24" s="53" t="s">
        <v>657</v>
      </c>
      <c r="I24" s="53"/>
      <c r="J24" s="53">
        <v>216834003.87</v>
      </c>
      <c r="K24" s="53"/>
      <c r="L24" s="53"/>
      <c r="M24" s="53"/>
      <c r="N24" s="26"/>
      <c r="O24" s="177" t="s">
        <v>657</v>
      </c>
      <c r="P24" s="130"/>
      <c r="Q24" s="174">
        <f t="shared" si="15"/>
        <v>267447</v>
      </c>
      <c r="R24" s="130"/>
      <c r="S24" s="130"/>
    </row>
    <row r="25" spans="1:19" x14ac:dyDescent="0.35">
      <c r="A25" s="53" t="s">
        <v>658</v>
      </c>
      <c r="B25" s="53"/>
      <c r="C25" s="53">
        <v>195384454.91</v>
      </c>
      <c r="D25" s="53"/>
      <c r="E25" s="53"/>
      <c r="F25" s="53"/>
      <c r="G25" s="26"/>
      <c r="H25" s="53" t="s">
        <v>658</v>
      </c>
      <c r="I25" s="53"/>
      <c r="J25" s="53">
        <v>122489713.43000001</v>
      </c>
      <c r="K25" s="53"/>
      <c r="L25" s="53"/>
      <c r="M25" s="53"/>
      <c r="N25" s="26">
        <f>2040+847.6+8000+6434.15+274.8+57</f>
        <v>17653.55</v>
      </c>
      <c r="O25" s="177" t="s">
        <v>658</v>
      </c>
      <c r="P25" s="130"/>
      <c r="Q25" s="174">
        <f t="shared" si="15"/>
        <v>195384</v>
      </c>
      <c r="R25" s="130"/>
      <c r="S25" s="130"/>
    </row>
    <row r="26" spans="1:19" x14ac:dyDescent="0.35">
      <c r="A26" s="53" t="s">
        <v>659</v>
      </c>
      <c r="B26" s="53"/>
      <c r="C26" s="53">
        <v>355.59</v>
      </c>
      <c r="D26" s="53"/>
      <c r="E26" s="53"/>
      <c r="F26" s="53"/>
      <c r="H26" s="53" t="s">
        <v>659</v>
      </c>
      <c r="I26" s="53"/>
      <c r="J26" s="53">
        <v>5575.32</v>
      </c>
      <c r="K26" s="53"/>
      <c r="L26" s="53"/>
      <c r="M26" s="53"/>
      <c r="O26" s="177" t="s">
        <v>659</v>
      </c>
      <c r="P26" s="130"/>
      <c r="Q26" s="174">
        <f t="shared" si="15"/>
        <v>0</v>
      </c>
      <c r="R26" s="130"/>
      <c r="S26" s="130"/>
    </row>
    <row r="27" spans="1:19" x14ac:dyDescent="0.35">
      <c r="A27" s="53" t="s">
        <v>222</v>
      </c>
      <c r="B27" s="53"/>
      <c r="C27" s="53">
        <v>1930114.96</v>
      </c>
      <c r="D27" s="53"/>
      <c r="E27" s="53"/>
      <c r="F27" s="53"/>
      <c r="H27" s="53" t="s">
        <v>222</v>
      </c>
      <c r="I27" s="53"/>
      <c r="J27" s="53">
        <v>1566900.05</v>
      </c>
      <c r="K27" s="53"/>
      <c r="L27" s="53"/>
      <c r="M27" s="53"/>
      <c r="O27" s="177" t="s">
        <v>222</v>
      </c>
      <c r="P27" s="130"/>
      <c r="Q27" s="174">
        <f t="shared" si="15"/>
        <v>1930</v>
      </c>
      <c r="R27" s="130"/>
      <c r="S27" s="130"/>
    </row>
    <row r="28" spans="1:19" x14ac:dyDescent="0.35">
      <c r="A28" s="53" t="s">
        <v>1146</v>
      </c>
      <c r="B28" s="53"/>
      <c r="C28" s="53">
        <v>251722.92</v>
      </c>
      <c r="D28" s="53"/>
      <c r="E28" s="53"/>
      <c r="F28" s="53"/>
      <c r="H28" s="53"/>
      <c r="I28" s="53"/>
      <c r="J28" s="53"/>
      <c r="K28" s="53"/>
      <c r="L28" s="53"/>
      <c r="M28" s="53"/>
      <c r="O28" s="177"/>
      <c r="P28" s="130"/>
      <c r="Q28" s="174">
        <f t="shared" si="15"/>
        <v>252</v>
      </c>
      <c r="R28" s="130"/>
      <c r="S28" s="130"/>
    </row>
    <row r="29" spans="1:19" x14ac:dyDescent="0.35">
      <c r="A29" s="53" t="s">
        <v>644</v>
      </c>
      <c r="B29" s="53"/>
      <c r="C29" s="53">
        <v>3194</v>
      </c>
      <c r="D29" s="53"/>
      <c r="E29" s="53"/>
      <c r="F29" s="53"/>
      <c r="H29" s="53" t="s">
        <v>644</v>
      </c>
      <c r="I29" s="53"/>
      <c r="J29" s="53">
        <v>13228</v>
      </c>
      <c r="K29" s="53"/>
      <c r="L29" s="53"/>
      <c r="M29" s="53"/>
      <c r="N29">
        <f>2040+847.6+10065.6+274.8</f>
        <v>13228</v>
      </c>
      <c r="O29" s="177" t="s">
        <v>644</v>
      </c>
      <c r="P29" s="130"/>
      <c r="Q29" s="174">
        <f t="shared" si="15"/>
        <v>3</v>
      </c>
      <c r="R29" s="130"/>
      <c r="S29" s="130"/>
    </row>
    <row r="30" spans="1:19" x14ac:dyDescent="0.35">
      <c r="A30" s="53" t="s">
        <v>643</v>
      </c>
      <c r="B30" s="53"/>
      <c r="C30" s="53">
        <f>183.18+4369.53</f>
        <v>4552.71</v>
      </c>
      <c r="D30" s="53"/>
      <c r="E30" s="53"/>
      <c r="F30" s="53"/>
      <c r="H30" s="53" t="s">
        <v>643</v>
      </c>
      <c r="I30" s="53"/>
      <c r="J30" s="53">
        <v>4368.55</v>
      </c>
      <c r="K30" s="53"/>
      <c r="L30" s="53"/>
      <c r="M30" s="53"/>
      <c r="N30">
        <f>332.74+9.9+3317.51+29.71+678.69</f>
        <v>4368.55</v>
      </c>
      <c r="O30" s="177" t="s">
        <v>643</v>
      </c>
      <c r="P30" s="130"/>
      <c r="Q30" s="174">
        <f t="shared" si="15"/>
        <v>5</v>
      </c>
      <c r="R30" s="130"/>
      <c r="S30" s="130"/>
    </row>
    <row r="31" spans="1:19" x14ac:dyDescent="0.35">
      <c r="A31" s="53" t="s">
        <v>226</v>
      </c>
      <c r="B31" s="53"/>
      <c r="C31" s="53">
        <v>520523.24</v>
      </c>
      <c r="D31" s="53"/>
      <c r="E31" s="53"/>
      <c r="F31" s="53"/>
      <c r="H31" s="53" t="s">
        <v>226</v>
      </c>
      <c r="I31" s="53"/>
      <c r="J31" s="53">
        <v>79579.28</v>
      </c>
      <c r="K31" s="53"/>
      <c r="L31" s="53"/>
      <c r="M31" s="53"/>
      <c r="N31" t="s">
        <v>997</v>
      </c>
      <c r="O31" s="177" t="s">
        <v>226</v>
      </c>
      <c r="P31" s="130"/>
      <c r="Q31" s="174">
        <f t="shared" si="15"/>
        <v>521</v>
      </c>
      <c r="R31" s="130"/>
      <c r="S31" s="130"/>
    </row>
    <row r="32" spans="1:19" x14ac:dyDescent="0.35">
      <c r="A32" s="59" t="s">
        <v>660</v>
      </c>
      <c r="B32" s="59">
        <f>B14+B24+B23</f>
        <v>14988867000</v>
      </c>
      <c r="C32" s="59">
        <f>C22+C23</f>
        <v>15415276382.620001</v>
      </c>
      <c r="D32" s="59">
        <f>D22+D23</f>
        <v>15493406737.379999</v>
      </c>
      <c r="E32" s="99">
        <f t="shared" ref="E32" si="16">D32/B32</f>
        <v>1.0336609656607134</v>
      </c>
      <c r="F32" s="59">
        <f>C32-D32</f>
        <v>-78130354.759998322</v>
      </c>
      <c r="H32" s="59" t="s">
        <v>660</v>
      </c>
      <c r="I32" s="59">
        <f>I14+I24+I23</f>
        <v>14075990000</v>
      </c>
      <c r="J32" s="59">
        <f>J22+J23</f>
        <v>14260213169.260002</v>
      </c>
      <c r="K32" s="59">
        <f>K22+K23</f>
        <v>13975900988.930004</v>
      </c>
      <c r="L32" s="99">
        <f t="shared" ref="L32" si="17">K32/I32</f>
        <v>0.99288938035122243</v>
      </c>
      <c r="M32" s="59">
        <f>J32-K32</f>
        <v>284312180.32999802</v>
      </c>
      <c r="O32" s="67" t="s">
        <v>660</v>
      </c>
      <c r="P32" s="176">
        <f t="shared" si="15"/>
        <v>14988867</v>
      </c>
      <c r="Q32" s="176">
        <f t="shared" ref="Q32" si="18">ROUND(C32/1000,0)</f>
        <v>15415276</v>
      </c>
      <c r="R32" s="176">
        <f t="shared" ref="R32" si="19">ROUND(D32/1000,0)</f>
        <v>15493407</v>
      </c>
      <c r="S32" s="176">
        <f t="shared" ref="S32" si="20">ROUND(F32/1000,0)</f>
        <v>-78130</v>
      </c>
    </row>
    <row r="33" spans="1:19" x14ac:dyDescent="0.35">
      <c r="A33" s="59" t="s">
        <v>661</v>
      </c>
      <c r="B33" s="53"/>
      <c r="C33" s="53"/>
      <c r="D33" s="53"/>
      <c r="E33" s="53"/>
      <c r="F33" s="53"/>
      <c r="H33" s="59" t="s">
        <v>661</v>
      </c>
      <c r="I33" s="53"/>
      <c r="J33" s="53"/>
      <c r="K33" s="53"/>
      <c r="L33" s="53"/>
      <c r="M33" s="53"/>
      <c r="O33" s="67" t="s">
        <v>661</v>
      </c>
      <c r="P33" s="130"/>
      <c r="Q33" s="130"/>
      <c r="R33" s="130"/>
      <c r="S33" s="130"/>
    </row>
    <row r="34" spans="1:19" x14ac:dyDescent="0.35">
      <c r="A34" s="3" t="s">
        <v>641</v>
      </c>
      <c r="B34" s="93">
        <f>B3</f>
        <v>3703168000</v>
      </c>
      <c r="C34" s="53">
        <f>C3</f>
        <v>4116191963.4899998</v>
      </c>
      <c r="D34" s="53">
        <f>D3</f>
        <v>4218751792.0799999</v>
      </c>
      <c r="E34" s="96">
        <f t="shared" ref="E34:E45" si="21">D34/B34</f>
        <v>1.1392277617650617</v>
      </c>
      <c r="F34" s="53">
        <f t="shared" ref="F34:F44" si="22">C34-D34</f>
        <v>-102559828.59000015</v>
      </c>
      <c r="H34" s="3" t="s">
        <v>641</v>
      </c>
      <c r="I34" s="93">
        <f>I3</f>
        <v>3349643000</v>
      </c>
      <c r="J34" s="53">
        <f>J3</f>
        <v>3867000555.7200003</v>
      </c>
      <c r="K34" s="53">
        <f>K3</f>
        <v>3558363787.23</v>
      </c>
      <c r="L34" s="96">
        <f t="shared" ref="L34:L45" si="23">K34/I34</f>
        <v>1.0623113529501502</v>
      </c>
      <c r="M34" s="53">
        <f t="shared" ref="M34:M44" si="24">J34-K34</f>
        <v>308636768.49000025</v>
      </c>
      <c r="O34" s="137" t="s">
        <v>641</v>
      </c>
      <c r="P34" s="174">
        <f t="shared" si="15"/>
        <v>3703168</v>
      </c>
      <c r="Q34" s="174">
        <f t="shared" ref="Q34" si="25">ROUND(C34/1000,0)</f>
        <v>4116192</v>
      </c>
      <c r="R34" s="174">
        <f t="shared" ref="R34" si="26">ROUND(D34/1000,0)</f>
        <v>4218752</v>
      </c>
      <c r="S34" s="174">
        <f t="shared" ref="S34" si="27">ROUND(F34/1000,0)</f>
        <v>-102560</v>
      </c>
    </row>
    <row r="35" spans="1:19" x14ac:dyDescent="0.35">
      <c r="A35" s="3" t="s">
        <v>212</v>
      </c>
      <c r="B35" s="93">
        <f t="shared" ref="B35:C37" si="28">B4</f>
        <v>5107021000</v>
      </c>
      <c r="C35" s="53">
        <f t="shared" si="28"/>
        <v>5146504679.71</v>
      </c>
      <c r="D35" s="53">
        <f>D4+D18+D21</f>
        <v>5150497081.3100014</v>
      </c>
      <c r="E35" s="96">
        <f t="shared" si="21"/>
        <v>1.0085130022590472</v>
      </c>
      <c r="F35" s="53">
        <f t="shared" si="22"/>
        <v>-3992401.6000013351</v>
      </c>
      <c r="H35" s="3" t="s">
        <v>212</v>
      </c>
      <c r="I35" s="93">
        <f t="shared" ref="I35:J35" si="29">I4</f>
        <v>4962834000</v>
      </c>
      <c r="J35" s="53">
        <f t="shared" si="29"/>
        <v>4890150568.71</v>
      </c>
      <c r="K35" s="53">
        <f>K4+K18+K21</f>
        <v>4889300252.25</v>
      </c>
      <c r="L35" s="96">
        <f t="shared" si="23"/>
        <v>0.98518311356978694</v>
      </c>
      <c r="M35" s="53">
        <f t="shared" si="24"/>
        <v>850316.46000003815</v>
      </c>
      <c r="O35" s="137" t="s">
        <v>212</v>
      </c>
      <c r="P35" s="174">
        <f t="shared" ref="P35:P45" si="30">ROUND(B35/1000,0)</f>
        <v>5107021</v>
      </c>
      <c r="Q35" s="174">
        <f t="shared" ref="Q35:Q45" si="31">ROUND(C35/1000,0)</f>
        <v>5146505</v>
      </c>
      <c r="R35" s="174">
        <f t="shared" ref="R35:R46" si="32">ROUND(D35/1000,0)</f>
        <v>5150497</v>
      </c>
      <c r="S35" s="174">
        <f t="shared" ref="S35:S45" si="33">ROUND(F35/1000,0)</f>
        <v>-3992</v>
      </c>
    </row>
    <row r="36" spans="1:19" x14ac:dyDescent="0.35">
      <c r="A36" s="3" t="s">
        <v>216</v>
      </c>
      <c r="B36" s="93">
        <f t="shared" si="28"/>
        <v>322000000</v>
      </c>
      <c r="C36" s="53">
        <f t="shared" si="28"/>
        <v>327793916.04999995</v>
      </c>
      <c r="D36" s="53">
        <f>D5</f>
        <v>327347478.88</v>
      </c>
      <c r="E36" s="96">
        <f t="shared" si="21"/>
        <v>1.0166070772670808</v>
      </c>
      <c r="F36" s="53">
        <f t="shared" si="22"/>
        <v>446437.16999995708</v>
      </c>
      <c r="H36" s="3" t="s">
        <v>216</v>
      </c>
      <c r="I36" s="93">
        <f t="shared" ref="I36:J36" si="34">I5</f>
        <v>313000000</v>
      </c>
      <c r="J36" s="53">
        <f t="shared" si="34"/>
        <v>311037783.15999997</v>
      </c>
      <c r="K36" s="53">
        <f>K5</f>
        <v>308775101.93000001</v>
      </c>
      <c r="L36" s="96">
        <f t="shared" si="23"/>
        <v>0.98650192309904161</v>
      </c>
      <c r="M36" s="53">
        <f t="shared" si="24"/>
        <v>2262681.2299999595</v>
      </c>
      <c r="O36" s="137" t="s">
        <v>216</v>
      </c>
      <c r="P36" s="174">
        <f t="shared" si="30"/>
        <v>322000</v>
      </c>
      <c r="Q36" s="174">
        <f t="shared" si="31"/>
        <v>327794</v>
      </c>
      <c r="R36" s="174">
        <f t="shared" si="32"/>
        <v>327347</v>
      </c>
      <c r="S36" s="174">
        <f t="shared" si="33"/>
        <v>446</v>
      </c>
    </row>
    <row r="37" spans="1:19" x14ac:dyDescent="0.35">
      <c r="A37" s="3" t="s">
        <v>218</v>
      </c>
      <c r="B37" s="93">
        <f t="shared" si="28"/>
        <v>247000000</v>
      </c>
      <c r="C37" s="53">
        <f t="shared" si="28"/>
        <v>255444427.59</v>
      </c>
      <c r="D37" s="53">
        <f>D6</f>
        <v>249345025.06</v>
      </c>
      <c r="E37" s="96">
        <f t="shared" si="21"/>
        <v>1.0094940285829959</v>
      </c>
      <c r="F37" s="53">
        <f t="shared" si="22"/>
        <v>6099402.5300000012</v>
      </c>
      <c r="H37" s="3" t="s">
        <v>218</v>
      </c>
      <c r="I37" s="93">
        <f>I6</f>
        <v>186000000</v>
      </c>
      <c r="J37" s="53">
        <f>J6</f>
        <v>179062265.62</v>
      </c>
      <c r="K37" s="53">
        <f>K6</f>
        <v>178032845.28999999</v>
      </c>
      <c r="L37" s="96">
        <f t="shared" si="23"/>
        <v>0.95716583489247309</v>
      </c>
      <c r="M37" s="53">
        <f t="shared" si="24"/>
        <v>1029420.3300000131</v>
      </c>
      <c r="O37" s="137" t="s">
        <v>218</v>
      </c>
      <c r="P37" s="174">
        <f t="shared" si="30"/>
        <v>247000</v>
      </c>
      <c r="Q37" s="174">
        <f t="shared" si="31"/>
        <v>255444</v>
      </c>
      <c r="R37" s="174">
        <f t="shared" si="32"/>
        <v>249345</v>
      </c>
      <c r="S37" s="174">
        <f t="shared" si="33"/>
        <v>6099</v>
      </c>
    </row>
    <row r="38" spans="1:19" x14ac:dyDescent="0.35">
      <c r="A38" s="3" t="s">
        <v>209</v>
      </c>
      <c r="B38" s="93">
        <f t="shared" ref="B38:B44" si="35">B7</f>
        <v>4235689000</v>
      </c>
      <c r="C38" s="53">
        <f>C7+C24+C25+C26</f>
        <v>4191680435</v>
      </c>
      <c r="D38" s="53">
        <f>D7+D16+D19</f>
        <v>4175851191.6900001</v>
      </c>
      <c r="E38" s="96">
        <f t="shared" si="21"/>
        <v>0.98587294574507245</v>
      </c>
      <c r="F38" s="53">
        <f t="shared" si="22"/>
        <v>15829243.309999943</v>
      </c>
      <c r="H38" s="3" t="s">
        <v>209</v>
      </c>
      <c r="I38" s="93">
        <f>I7</f>
        <v>4066699000</v>
      </c>
      <c r="J38" s="53">
        <f>J7+J24+J25+J26</f>
        <v>3818988474.9200001</v>
      </c>
      <c r="K38" s="53">
        <f>K7+K16+K19</f>
        <v>3846312904.4399996</v>
      </c>
      <c r="L38" s="96">
        <f t="shared" si="23"/>
        <v>0.94580712869086192</v>
      </c>
      <c r="M38" s="53">
        <f t="shared" si="24"/>
        <v>-27324429.519999504</v>
      </c>
      <c r="O38" s="137" t="s">
        <v>209</v>
      </c>
      <c r="P38" s="174">
        <f t="shared" si="30"/>
        <v>4235689</v>
      </c>
      <c r="Q38" s="174">
        <f t="shared" si="31"/>
        <v>4191680</v>
      </c>
      <c r="R38" s="174">
        <f t="shared" si="32"/>
        <v>4175851</v>
      </c>
      <c r="S38" s="174">
        <f t="shared" si="33"/>
        <v>15829</v>
      </c>
    </row>
    <row r="39" spans="1:19" x14ac:dyDescent="0.35">
      <c r="A39" s="3" t="s">
        <v>643</v>
      </c>
      <c r="B39" s="93">
        <f t="shared" si="35"/>
        <v>1097890000</v>
      </c>
      <c r="C39" s="53">
        <f>C8+C30</f>
        <v>1087180859.0100002</v>
      </c>
      <c r="D39" s="53">
        <f>D8+D17+D20</f>
        <v>1087553758.8400002</v>
      </c>
      <c r="E39" s="96">
        <f t="shared" si="21"/>
        <v>0.99058535813241777</v>
      </c>
      <c r="F39" s="53">
        <f t="shared" si="22"/>
        <v>-372899.82999992371</v>
      </c>
      <c r="H39" s="3" t="s">
        <v>643</v>
      </c>
      <c r="I39" s="93">
        <f>I8</f>
        <v>1033514000</v>
      </c>
      <c r="J39" s="53">
        <f>J8+J30</f>
        <v>1027751571.04</v>
      </c>
      <c r="K39" s="53">
        <f>K8+K17+K20</f>
        <v>1029938548.5799999</v>
      </c>
      <c r="L39" s="96">
        <f t="shared" si="23"/>
        <v>0.99654049057874394</v>
      </c>
      <c r="M39" s="53">
        <f t="shared" si="24"/>
        <v>-2186977.5399999619</v>
      </c>
      <c r="O39" s="137" t="s">
        <v>643</v>
      </c>
      <c r="P39" s="174">
        <f t="shared" si="30"/>
        <v>1097890</v>
      </c>
      <c r="Q39" s="174">
        <f t="shared" si="31"/>
        <v>1087181</v>
      </c>
      <c r="R39" s="174">
        <f t="shared" si="32"/>
        <v>1087554</v>
      </c>
      <c r="S39" s="174">
        <f t="shared" si="33"/>
        <v>-373</v>
      </c>
    </row>
    <row r="40" spans="1:19" x14ac:dyDescent="0.35">
      <c r="A40" s="3" t="s">
        <v>644</v>
      </c>
      <c r="B40" s="93">
        <f t="shared" si="35"/>
        <v>4600000</v>
      </c>
      <c r="C40" s="53">
        <f>C9+C29</f>
        <v>4571569.6500000004</v>
      </c>
      <c r="D40" s="53">
        <f>D9</f>
        <v>4580075.66</v>
      </c>
      <c r="E40" s="96">
        <f t="shared" si="21"/>
        <v>0.99566862173913051</v>
      </c>
      <c r="F40" s="53">
        <f t="shared" si="22"/>
        <v>-8506.0099999997765</v>
      </c>
      <c r="H40" s="3" t="s">
        <v>644</v>
      </c>
      <c r="I40" s="93">
        <f>I9</f>
        <v>4900000</v>
      </c>
      <c r="J40" s="53">
        <f>J9+J29</f>
        <v>4765717.38</v>
      </c>
      <c r="K40" s="53">
        <f>K9</f>
        <v>4748627.45</v>
      </c>
      <c r="L40" s="96">
        <f t="shared" si="23"/>
        <v>0.9691076428571429</v>
      </c>
      <c r="M40" s="53">
        <f t="shared" si="24"/>
        <v>17089.929999999702</v>
      </c>
      <c r="O40" s="137" t="s">
        <v>644</v>
      </c>
      <c r="P40" s="174">
        <f t="shared" si="30"/>
        <v>4600</v>
      </c>
      <c r="Q40" s="174">
        <f t="shared" si="31"/>
        <v>4572</v>
      </c>
      <c r="R40" s="174">
        <f t="shared" si="32"/>
        <v>4580</v>
      </c>
      <c r="S40" s="174">
        <f t="shared" si="33"/>
        <v>-9</v>
      </c>
    </row>
    <row r="41" spans="1:19" x14ac:dyDescent="0.35">
      <c r="A41" s="3" t="s">
        <v>1146</v>
      </c>
      <c r="B41" s="93">
        <f t="shared" si="35"/>
        <v>86700000</v>
      </c>
      <c r="C41" s="93">
        <f>C10+C28</f>
        <v>93569311.570000008</v>
      </c>
      <c r="D41" s="93">
        <f>D10</f>
        <v>87140168.090000004</v>
      </c>
      <c r="E41" s="96">
        <f t="shared" si="21"/>
        <v>1.0050769099192618</v>
      </c>
      <c r="F41" s="53">
        <f t="shared" si="22"/>
        <v>6429143.4800000042</v>
      </c>
      <c r="H41" s="3"/>
      <c r="I41" s="93"/>
      <c r="J41" s="53"/>
      <c r="K41" s="53"/>
      <c r="L41" s="96"/>
      <c r="M41" s="53"/>
      <c r="O41" s="137"/>
      <c r="P41" s="174">
        <f t="shared" si="30"/>
        <v>86700</v>
      </c>
      <c r="Q41" s="174"/>
      <c r="R41" s="174"/>
      <c r="S41" s="174"/>
    </row>
    <row r="42" spans="1:19" x14ac:dyDescent="0.35">
      <c r="A42" s="3" t="s">
        <v>226</v>
      </c>
      <c r="B42" s="93">
        <f t="shared" si="35"/>
        <v>44999000</v>
      </c>
      <c r="C42" s="53">
        <f>C11+C31</f>
        <v>49249589.780000001</v>
      </c>
      <c r="D42" s="53">
        <f>D11</f>
        <v>50458596.409999996</v>
      </c>
      <c r="E42" s="96">
        <f t="shared" si="21"/>
        <v>1.1213270608235737</v>
      </c>
      <c r="F42" s="53">
        <f t="shared" si="22"/>
        <v>-1209006.6299999952</v>
      </c>
      <c r="H42" s="3" t="s">
        <v>226</v>
      </c>
      <c r="I42" s="93">
        <f>I11</f>
        <v>42300000</v>
      </c>
      <c r="J42" s="53">
        <f>J11+J31</f>
        <v>44790434.68</v>
      </c>
      <c r="K42" s="53">
        <f>K11</f>
        <v>44830096.060000002</v>
      </c>
      <c r="L42" s="96">
        <f t="shared" si="23"/>
        <v>1.0598131456264777</v>
      </c>
      <c r="M42" s="53">
        <f t="shared" si="24"/>
        <v>-39661.380000002682</v>
      </c>
      <c r="O42" s="137" t="s">
        <v>226</v>
      </c>
      <c r="P42" s="174">
        <f t="shared" si="30"/>
        <v>44999</v>
      </c>
      <c r="Q42" s="174">
        <f t="shared" si="31"/>
        <v>49250</v>
      </c>
      <c r="R42" s="174">
        <f t="shared" si="32"/>
        <v>50459</v>
      </c>
      <c r="S42" s="174">
        <f t="shared" si="33"/>
        <v>-1209</v>
      </c>
    </row>
    <row r="43" spans="1:19" x14ac:dyDescent="0.35">
      <c r="A43" s="3" t="s">
        <v>222</v>
      </c>
      <c r="B43" s="93">
        <f t="shared" si="35"/>
        <v>80000000</v>
      </c>
      <c r="C43" s="53">
        <f>C12+C27</f>
        <v>80995099.669999987</v>
      </c>
      <c r="D43" s="53">
        <f>D12</f>
        <v>80533808.670000002</v>
      </c>
      <c r="E43" s="96">
        <f t="shared" si="21"/>
        <v>1.0066726083749999</v>
      </c>
      <c r="F43" s="53">
        <f t="shared" si="22"/>
        <v>461290.9999999851</v>
      </c>
      <c r="H43" s="3" t="s">
        <v>222</v>
      </c>
      <c r="I43" s="93">
        <f>I12</f>
        <v>58000000</v>
      </c>
      <c r="J43" s="53">
        <f>J12+J27</f>
        <v>58571443.740000002</v>
      </c>
      <c r="K43" s="53">
        <f>K12</f>
        <v>58465007.420000002</v>
      </c>
      <c r="L43" s="96">
        <f t="shared" si="23"/>
        <v>1.0080173693103449</v>
      </c>
      <c r="M43" s="53">
        <f t="shared" si="24"/>
        <v>106436.3200000003</v>
      </c>
      <c r="O43" s="137" t="s">
        <v>222</v>
      </c>
      <c r="P43" s="174">
        <f t="shared" si="30"/>
        <v>80000</v>
      </c>
      <c r="Q43" s="174">
        <f t="shared" si="31"/>
        <v>80995</v>
      </c>
      <c r="R43" s="174">
        <f t="shared" si="32"/>
        <v>80534</v>
      </c>
      <c r="S43" s="174">
        <f t="shared" si="33"/>
        <v>461</v>
      </c>
    </row>
    <row r="44" spans="1:19" x14ac:dyDescent="0.35">
      <c r="A44" s="3" t="s">
        <v>645</v>
      </c>
      <c r="B44" s="93">
        <f t="shared" si="35"/>
        <v>59800000</v>
      </c>
      <c r="C44" s="53">
        <f>C13</f>
        <v>62094531.100000001</v>
      </c>
      <c r="D44" s="53">
        <f>D13</f>
        <v>61347760.689999998</v>
      </c>
      <c r="E44" s="96">
        <f t="shared" si="21"/>
        <v>1.0258822857859531</v>
      </c>
      <c r="F44" s="53">
        <f t="shared" si="22"/>
        <v>746770.41000000387</v>
      </c>
      <c r="H44" s="3" t="s">
        <v>645</v>
      </c>
      <c r="I44" s="93">
        <f>I13</f>
        <v>59100000</v>
      </c>
      <c r="J44" s="53">
        <f>J13</f>
        <v>58094354.289999999</v>
      </c>
      <c r="K44" s="53">
        <f>K13</f>
        <v>57133818.280000001</v>
      </c>
      <c r="L44" s="96">
        <f t="shared" si="23"/>
        <v>0.96673127377326562</v>
      </c>
      <c r="M44" s="53">
        <f t="shared" si="24"/>
        <v>960536.00999999791</v>
      </c>
      <c r="O44" s="137" t="s">
        <v>645</v>
      </c>
      <c r="P44" s="174">
        <f t="shared" si="30"/>
        <v>59800</v>
      </c>
      <c r="Q44" s="174">
        <f t="shared" si="31"/>
        <v>62095</v>
      </c>
      <c r="R44" s="174">
        <f t="shared" si="32"/>
        <v>61348</v>
      </c>
      <c r="S44" s="174">
        <f t="shared" si="33"/>
        <v>747</v>
      </c>
    </row>
    <row r="45" spans="1:19" x14ac:dyDescent="0.35">
      <c r="A45" s="97" t="s">
        <v>647</v>
      </c>
      <c r="B45" s="98">
        <f>SUM(B34:B44)</f>
        <v>14988867000</v>
      </c>
      <c r="C45" s="98">
        <f>SUM(C34:C44)</f>
        <v>15415276382.620001</v>
      </c>
      <c r="D45" s="59">
        <f>SUM(D34:D44)</f>
        <v>15493406737.380001</v>
      </c>
      <c r="E45" s="99">
        <f t="shared" si="21"/>
        <v>1.0336609656607134</v>
      </c>
      <c r="F45" s="59">
        <f>SUM(F34:F44)</f>
        <v>-78130354.76000151</v>
      </c>
      <c r="H45" s="97" t="s">
        <v>647</v>
      </c>
      <c r="I45" s="98">
        <f>SUM(I34:I44)</f>
        <v>14075990000</v>
      </c>
      <c r="J45" s="98">
        <f>SUM(J34:J44)</f>
        <v>14260213169.260002</v>
      </c>
      <c r="K45" s="59">
        <f>SUM(K34:K44)</f>
        <v>13975900988.93</v>
      </c>
      <c r="L45" s="99">
        <f t="shared" si="23"/>
        <v>0.99288938035122221</v>
      </c>
      <c r="M45" s="59">
        <f>SUM(M34:M44)</f>
        <v>284312180.33000076</v>
      </c>
      <c r="O45" s="129" t="s">
        <v>647</v>
      </c>
      <c r="P45" s="176">
        <f t="shared" si="30"/>
        <v>14988867</v>
      </c>
      <c r="Q45" s="176">
        <f t="shared" si="31"/>
        <v>15415276</v>
      </c>
      <c r="R45" s="176">
        <f t="shared" si="32"/>
        <v>15493407</v>
      </c>
      <c r="S45" s="176">
        <f t="shared" si="33"/>
        <v>-78130</v>
      </c>
    </row>
    <row r="46" spans="1:19" x14ac:dyDescent="0.35">
      <c r="A46" s="26"/>
      <c r="B46" s="26"/>
      <c r="C46" s="26">
        <f>C1+C23</f>
        <v>15415276382.619999</v>
      </c>
      <c r="D46" s="26"/>
      <c r="E46" s="102"/>
      <c r="F46" s="26"/>
      <c r="G46" s="26"/>
      <c r="H46" s="26"/>
      <c r="I46" s="26"/>
      <c r="J46" s="26"/>
      <c r="K46" s="26"/>
      <c r="L46" s="102"/>
      <c r="M46" s="26"/>
      <c r="N46" s="26"/>
      <c r="O46" s="179"/>
      <c r="R46" s="173">
        <f t="shared" si="32"/>
        <v>0</v>
      </c>
    </row>
    <row r="47" spans="1:19" x14ac:dyDescent="0.35">
      <c r="A47" s="26" t="s">
        <v>662</v>
      </c>
      <c r="B47" s="26"/>
      <c r="C47" s="26"/>
      <c r="D47" s="26"/>
      <c r="E47" s="102"/>
      <c r="F47" s="26"/>
      <c r="G47" s="26"/>
      <c r="H47" s="26"/>
      <c r="I47" s="26"/>
      <c r="J47" s="26"/>
      <c r="K47" s="26"/>
      <c r="L47" s="102"/>
      <c r="M47" s="26"/>
      <c r="N47" s="26"/>
      <c r="O47" s="179" t="s">
        <v>662</v>
      </c>
    </row>
    <row r="48" spans="1:19" x14ac:dyDescent="0.35">
      <c r="A48" s="26" t="s">
        <v>663</v>
      </c>
      <c r="B48" s="26"/>
      <c r="C48" s="26"/>
      <c r="D48" s="26"/>
      <c r="E48" s="102"/>
      <c r="F48" s="26"/>
      <c r="G48" s="26"/>
      <c r="H48" s="26"/>
      <c r="I48" s="26"/>
      <c r="J48" s="26"/>
      <c r="K48" s="26"/>
      <c r="L48" s="102"/>
      <c r="M48" s="26"/>
      <c r="N48" s="26"/>
      <c r="O48" s="179" t="s">
        <v>663</v>
      </c>
    </row>
    <row r="49" spans="1:19" x14ac:dyDescent="0.35">
      <c r="A49" s="26" t="s">
        <v>919</v>
      </c>
      <c r="B49" s="26"/>
      <c r="C49" s="26"/>
      <c r="D49" s="26"/>
      <c r="E49" s="102"/>
      <c r="F49" s="26"/>
      <c r="G49" s="26"/>
      <c r="H49" s="26"/>
      <c r="I49" s="26"/>
      <c r="J49" s="26"/>
      <c r="K49" s="26"/>
      <c r="L49" s="102"/>
      <c r="M49" s="26"/>
      <c r="N49" s="26"/>
      <c r="O49" s="179" t="s">
        <v>664</v>
      </c>
    </row>
    <row r="50" spans="1:19" x14ac:dyDescent="0.35">
      <c r="A50" s="26"/>
      <c r="B50" s="26"/>
      <c r="C50" s="26"/>
      <c r="D50" s="26"/>
      <c r="E50" s="102"/>
      <c r="F50" s="26"/>
      <c r="G50" s="26"/>
      <c r="H50" s="26"/>
      <c r="I50" s="26"/>
      <c r="J50" s="26"/>
      <c r="K50" s="26"/>
      <c r="L50" s="102"/>
      <c r="M50" s="26"/>
      <c r="N50" s="26"/>
      <c r="O50" s="179"/>
    </row>
    <row r="51" spans="1:19" x14ac:dyDescent="0.35">
      <c r="A51" s="52" t="s">
        <v>665</v>
      </c>
      <c r="B51" s="26"/>
      <c r="C51" s="26"/>
      <c r="D51" s="26"/>
      <c r="E51" s="102"/>
      <c r="F51" s="26" t="s">
        <v>82</v>
      </c>
      <c r="G51" s="26"/>
      <c r="H51" s="52" t="s">
        <v>665</v>
      </c>
      <c r="I51" s="26"/>
      <c r="J51" s="26"/>
      <c r="K51" s="26"/>
      <c r="L51" s="102"/>
      <c r="M51" s="26"/>
      <c r="N51" s="26"/>
      <c r="O51" s="180" t="s">
        <v>665</v>
      </c>
    </row>
    <row r="52" spans="1:19" ht="43.5" x14ac:dyDescent="0.35">
      <c r="A52" s="92"/>
      <c r="B52" s="103" t="s">
        <v>2</v>
      </c>
      <c r="C52" s="103" t="s">
        <v>666</v>
      </c>
      <c r="D52" s="103" t="s">
        <v>667</v>
      </c>
      <c r="E52" s="94" t="s">
        <v>638</v>
      </c>
      <c r="F52" s="103" t="s">
        <v>668</v>
      </c>
      <c r="H52" s="92"/>
      <c r="I52" s="103" t="s">
        <v>2</v>
      </c>
      <c r="J52" s="103" t="s">
        <v>666</v>
      </c>
      <c r="K52" s="103" t="s">
        <v>667</v>
      </c>
      <c r="L52" s="94" t="s">
        <v>638</v>
      </c>
      <c r="M52" s="103" t="s">
        <v>668</v>
      </c>
      <c r="O52" s="131"/>
      <c r="P52" s="181" t="s">
        <v>2</v>
      </c>
      <c r="Q52" s="181" t="s">
        <v>666</v>
      </c>
      <c r="R52" s="181" t="s">
        <v>667</v>
      </c>
      <c r="S52" s="181" t="s">
        <v>668</v>
      </c>
    </row>
    <row r="53" spans="1:19" x14ac:dyDescent="0.35">
      <c r="A53" s="104" t="s">
        <v>669</v>
      </c>
      <c r="B53" s="105">
        <v>-1950314000</v>
      </c>
      <c r="C53" s="106">
        <v>-1964652570.96</v>
      </c>
      <c r="D53" s="106">
        <v>-1981891756</v>
      </c>
      <c r="E53" s="107">
        <f>D53/B53</f>
        <v>1.0161911138411559</v>
      </c>
      <c r="F53" s="106">
        <f t="shared" ref="F53:F61" si="36">C53-D53</f>
        <v>17239185.039999962</v>
      </c>
      <c r="H53" s="104" t="s">
        <v>669</v>
      </c>
      <c r="I53" s="105">
        <f>-1876382000+2210000</f>
        <v>-1874172000</v>
      </c>
      <c r="J53" s="106">
        <f>-1894264947.16+4991948.92</f>
        <v>-1889272998.24</v>
      </c>
      <c r="K53" s="106">
        <v>-1868362948</v>
      </c>
      <c r="L53" s="107">
        <f>K53/I53</f>
        <v>0.99690047018096528</v>
      </c>
      <c r="M53" s="106">
        <f t="shared" ref="M53:M61" si="37">J53-K53</f>
        <v>-20910050.24000001</v>
      </c>
      <c r="O53" s="182" t="s">
        <v>669</v>
      </c>
      <c r="P53" s="174">
        <f t="shared" ref="P53" si="38">ROUND(B53/1000,0)</f>
        <v>-1950314</v>
      </c>
      <c r="Q53" s="174">
        <f t="shared" ref="Q53" si="39">ROUND(C53/1000,0)</f>
        <v>-1964653</v>
      </c>
      <c r="R53" s="174">
        <f t="shared" ref="R53" si="40">ROUND(D53/1000,0)</f>
        <v>-1981892</v>
      </c>
      <c r="S53" s="174">
        <f t="shared" ref="S53" si="41">ROUND(F53/1000,0)</f>
        <v>17239</v>
      </c>
    </row>
    <row r="54" spans="1:19" x14ac:dyDescent="0.35">
      <c r="A54" s="104" t="s">
        <v>670</v>
      </c>
      <c r="B54" s="105"/>
      <c r="C54" s="106">
        <v>-337227227.67000002</v>
      </c>
      <c r="D54" s="93">
        <f>-585763446.51-D56</f>
        <v>-336388464.17999995</v>
      </c>
      <c r="E54" s="107" t="e">
        <f t="shared" ref="E54:E62" si="42">D54/B54</f>
        <v>#DIV/0!</v>
      </c>
      <c r="F54" s="106">
        <f t="shared" si="36"/>
        <v>-838763.49000006914</v>
      </c>
      <c r="H54" s="104" t="s">
        <v>670</v>
      </c>
      <c r="I54" s="105">
        <v>-332000000</v>
      </c>
      <c r="J54" s="106">
        <f>-324175121-340881.72</f>
        <v>-324516002.72000003</v>
      </c>
      <c r="K54" s="93">
        <f>-499246836.91+178196136.34</f>
        <v>-321050700.57000005</v>
      </c>
      <c r="L54" s="107">
        <f t="shared" ref="L54:L62" si="43">K54/I54</f>
        <v>0.96702018243975918</v>
      </c>
      <c r="M54" s="106">
        <f t="shared" si="37"/>
        <v>-3465302.1499999762</v>
      </c>
      <c r="O54" s="182" t="s">
        <v>670</v>
      </c>
      <c r="P54" s="174">
        <f t="shared" ref="P54:P62" si="44">ROUND(B54/1000,0)</f>
        <v>0</v>
      </c>
      <c r="Q54" s="174">
        <f t="shared" ref="Q54:Q62" si="45">ROUND(C54/1000,0)</f>
        <v>-337227</v>
      </c>
      <c r="R54" s="174">
        <f t="shared" ref="R54:R67" si="46">ROUND(D54/1000,0)</f>
        <v>-336388</v>
      </c>
      <c r="S54" s="174">
        <f t="shared" ref="S54:S62" si="47">ROUND(F54/1000,0)</f>
        <v>-839</v>
      </c>
    </row>
    <row r="55" spans="1:19" x14ac:dyDescent="0.35">
      <c r="A55" s="104" t="s">
        <v>671</v>
      </c>
      <c r="B55" s="105">
        <v>-322000000</v>
      </c>
      <c r="C55" s="106">
        <v>-327793916.05000001</v>
      </c>
      <c r="D55" s="105">
        <v>-327270171</v>
      </c>
      <c r="E55" s="107">
        <f t="shared" si="42"/>
        <v>1.0163669906832298</v>
      </c>
      <c r="F55" s="106">
        <f t="shared" si="36"/>
        <v>-523745.05000001192</v>
      </c>
      <c r="G55" s="148"/>
      <c r="H55" s="104" t="s">
        <v>671</v>
      </c>
      <c r="I55" s="105">
        <v>-313000000</v>
      </c>
      <c r="J55" s="106">
        <f>-311592145.12+554361.96</f>
        <v>-311037783.16000003</v>
      </c>
      <c r="K55" s="105">
        <v>-308724442</v>
      </c>
      <c r="L55" s="107">
        <f t="shared" si="43"/>
        <v>0.98634007028753989</v>
      </c>
      <c r="M55" s="106">
        <f t="shared" si="37"/>
        <v>-2313341.1600000262</v>
      </c>
      <c r="O55" s="182" t="s">
        <v>671</v>
      </c>
      <c r="P55" s="174">
        <f t="shared" si="44"/>
        <v>-322000</v>
      </c>
      <c r="Q55" s="174">
        <f t="shared" si="45"/>
        <v>-327794</v>
      </c>
      <c r="R55" s="174">
        <f t="shared" si="46"/>
        <v>-327270</v>
      </c>
      <c r="S55" s="174">
        <f t="shared" si="47"/>
        <v>-524</v>
      </c>
    </row>
    <row r="56" spans="1:19" x14ac:dyDescent="0.35">
      <c r="A56" s="104" t="s">
        <v>672</v>
      </c>
      <c r="B56" s="105">
        <v>-247000000</v>
      </c>
      <c r="C56" s="106">
        <v>-255444427.59</v>
      </c>
      <c r="D56" s="93">
        <v>-249374982.33000001</v>
      </c>
      <c r="E56" s="107">
        <f t="shared" si="42"/>
        <v>1.0096153130769232</v>
      </c>
      <c r="F56" s="106">
        <f t="shared" si="36"/>
        <v>-6069445.2599999905</v>
      </c>
      <c r="G56" s="148" t="s">
        <v>895</v>
      </c>
      <c r="H56" s="104" t="s">
        <v>672</v>
      </c>
      <c r="I56" s="105">
        <v>-166000000</v>
      </c>
      <c r="J56" s="106">
        <f>-179131489.16+69223.54</f>
        <v>-179062265.62</v>
      </c>
      <c r="K56" s="93">
        <v>-178196136.34</v>
      </c>
      <c r="L56" s="107">
        <f t="shared" si="43"/>
        <v>1.0734707008433735</v>
      </c>
      <c r="M56" s="106">
        <f t="shared" si="37"/>
        <v>-866129.28000000119</v>
      </c>
      <c r="O56" s="182" t="s">
        <v>672</v>
      </c>
      <c r="P56" s="174">
        <f t="shared" si="44"/>
        <v>-247000</v>
      </c>
      <c r="Q56" s="174">
        <f t="shared" si="45"/>
        <v>-255444</v>
      </c>
      <c r="R56" s="174">
        <f t="shared" si="46"/>
        <v>-249375</v>
      </c>
      <c r="S56" s="174">
        <f t="shared" si="47"/>
        <v>-6069</v>
      </c>
    </row>
    <row r="57" spans="1:19" x14ac:dyDescent="0.35">
      <c r="A57" s="104" t="s">
        <v>673</v>
      </c>
      <c r="B57" s="105">
        <v>-80000000</v>
      </c>
      <c r="C57" s="106">
        <v>-81013073.010000005</v>
      </c>
      <c r="D57" s="106">
        <v>-80611466</v>
      </c>
      <c r="E57" s="107">
        <f t="shared" si="42"/>
        <v>1.0076433250000001</v>
      </c>
      <c r="F57" s="106">
        <f t="shared" si="36"/>
        <v>-401607.01000000536</v>
      </c>
      <c r="G57" s="148"/>
      <c r="H57" s="104" t="s">
        <v>673</v>
      </c>
      <c r="I57" s="105">
        <v>-58000000</v>
      </c>
      <c r="J57" s="106">
        <f>-58752981.3+166019.32</f>
        <v>-58586961.979999997</v>
      </c>
      <c r="K57" s="106">
        <v>-58495302</v>
      </c>
      <c r="L57" s="107">
        <f t="shared" si="43"/>
        <v>1.0085396896551724</v>
      </c>
      <c r="M57" s="106">
        <f t="shared" si="37"/>
        <v>-91659.979999996722</v>
      </c>
      <c r="O57" s="182" t="s">
        <v>673</v>
      </c>
      <c r="P57" s="174">
        <f t="shared" si="44"/>
        <v>-80000</v>
      </c>
      <c r="Q57" s="174">
        <f t="shared" si="45"/>
        <v>-81013</v>
      </c>
      <c r="R57" s="174">
        <f t="shared" si="46"/>
        <v>-80611</v>
      </c>
      <c r="S57" s="174">
        <f t="shared" si="47"/>
        <v>-402</v>
      </c>
    </row>
    <row r="58" spans="1:19" x14ac:dyDescent="0.35">
      <c r="A58" s="104" t="s">
        <v>876</v>
      </c>
      <c r="B58" s="105"/>
      <c r="C58" s="106">
        <v>-2023578586.97</v>
      </c>
      <c r="D58" s="93">
        <v>-2022021531</v>
      </c>
      <c r="E58" s="107" t="e">
        <f t="shared" si="42"/>
        <v>#DIV/0!</v>
      </c>
      <c r="F58" s="106">
        <f t="shared" si="36"/>
        <v>-1557055.9700000286</v>
      </c>
      <c r="G58" s="26"/>
      <c r="H58" s="104" t="s">
        <v>674</v>
      </c>
      <c r="I58" s="105">
        <v>-1948536341</v>
      </c>
      <c r="J58" s="106">
        <f>-1923245980.11-1482504.1</f>
        <v>-1924728484.2099998</v>
      </c>
      <c r="K58" s="93">
        <v>-1910226589</v>
      </c>
      <c r="L58" s="107">
        <f t="shared" si="43"/>
        <v>0.98033921605981478</v>
      </c>
      <c r="M58" s="106">
        <f t="shared" si="37"/>
        <v>-14501895.2099998</v>
      </c>
      <c r="O58" s="182" t="s">
        <v>876</v>
      </c>
      <c r="P58" s="174">
        <f t="shared" si="44"/>
        <v>0</v>
      </c>
      <c r="Q58" s="174">
        <f t="shared" si="45"/>
        <v>-2023579</v>
      </c>
      <c r="R58" s="174">
        <f t="shared" si="46"/>
        <v>-2022022</v>
      </c>
      <c r="S58" s="174">
        <f t="shared" si="47"/>
        <v>-1557</v>
      </c>
    </row>
    <row r="59" spans="1:19" x14ac:dyDescent="0.35">
      <c r="A59" s="104" t="s">
        <v>675</v>
      </c>
      <c r="B59" s="105">
        <v>-18655000</v>
      </c>
      <c r="C59" s="106">
        <v>-18078298.050000001</v>
      </c>
      <c r="D59" s="106">
        <v>-17637459</v>
      </c>
      <c r="E59" s="107">
        <f t="shared" si="42"/>
        <v>0.94545478424015006</v>
      </c>
      <c r="F59" s="106">
        <f t="shared" si="36"/>
        <v>-440839.05000000075</v>
      </c>
      <c r="H59" s="104" t="s">
        <v>675</v>
      </c>
      <c r="I59" s="105">
        <v>-17675000</v>
      </c>
      <c r="J59" s="106">
        <v>-17582909.129999999</v>
      </c>
      <c r="K59" s="106">
        <v>-17505303</v>
      </c>
      <c r="L59" s="107">
        <f t="shared" si="43"/>
        <v>0.99039903818953323</v>
      </c>
      <c r="M59" s="106">
        <f t="shared" si="37"/>
        <v>-77606.129999998957</v>
      </c>
      <c r="O59" s="182" t="s">
        <v>675</v>
      </c>
      <c r="P59" s="174">
        <f t="shared" si="44"/>
        <v>-18655</v>
      </c>
      <c r="Q59" s="174">
        <f t="shared" si="45"/>
        <v>-18078</v>
      </c>
      <c r="R59" s="174">
        <f t="shared" si="46"/>
        <v>-17637</v>
      </c>
      <c r="S59" s="174">
        <f t="shared" si="47"/>
        <v>-441</v>
      </c>
    </row>
    <row r="60" spans="1:19" x14ac:dyDescent="0.35">
      <c r="A60" s="104" t="s">
        <v>676</v>
      </c>
      <c r="B60" s="105">
        <v>-28584000</v>
      </c>
      <c r="C60" s="106">
        <v>-29681185.870000001</v>
      </c>
      <c r="D60" s="106">
        <v>-29291742</v>
      </c>
      <c r="E60" s="107">
        <f t="shared" si="42"/>
        <v>1.0247600755667505</v>
      </c>
      <c r="F60" s="106">
        <f t="shared" si="36"/>
        <v>-389443.87000000104</v>
      </c>
      <c r="H60" s="104" t="s">
        <v>676</v>
      </c>
      <c r="I60" s="105">
        <v>-28250000</v>
      </c>
      <c r="J60" s="106">
        <v>-27769101.350000001</v>
      </c>
      <c r="K60" s="106">
        <v>-26801878</v>
      </c>
      <c r="L60" s="107">
        <f t="shared" si="43"/>
        <v>0.94873904424778766</v>
      </c>
      <c r="M60" s="106">
        <f t="shared" si="37"/>
        <v>-967223.35000000149</v>
      </c>
      <c r="O60" s="182" t="s">
        <v>676</v>
      </c>
      <c r="P60" s="174">
        <f t="shared" si="44"/>
        <v>-28584</v>
      </c>
      <c r="Q60" s="174">
        <f t="shared" si="45"/>
        <v>-29681</v>
      </c>
      <c r="R60" s="174">
        <f t="shared" si="46"/>
        <v>-29292</v>
      </c>
      <c r="S60" s="174">
        <f t="shared" si="47"/>
        <v>-389</v>
      </c>
    </row>
    <row r="61" spans="1:19" x14ac:dyDescent="0.35">
      <c r="A61" s="104" t="s">
        <v>677</v>
      </c>
      <c r="B61" s="105">
        <v>-33749000</v>
      </c>
      <c r="C61" s="106">
        <v>-35055083.859999999</v>
      </c>
      <c r="D61" s="106">
        <v>-37027988.329999998</v>
      </c>
      <c r="E61" s="107">
        <f t="shared" si="42"/>
        <v>1.0971580885359566</v>
      </c>
      <c r="F61" s="106">
        <f t="shared" si="36"/>
        <v>1972904.4699999988</v>
      </c>
      <c r="H61" s="104" t="s">
        <v>677</v>
      </c>
      <c r="I61" s="105">
        <v>-31725000</v>
      </c>
      <c r="J61" s="106">
        <v>-33592572.590000004</v>
      </c>
      <c r="K61" s="106">
        <v>-32940349.07</v>
      </c>
      <c r="L61" s="107">
        <f t="shared" si="43"/>
        <v>1.0383088753349095</v>
      </c>
      <c r="M61" s="106">
        <f t="shared" si="37"/>
        <v>-652223.52000000328</v>
      </c>
      <c r="O61" s="182" t="s">
        <v>677</v>
      </c>
      <c r="P61" s="174">
        <f t="shared" si="44"/>
        <v>-33749</v>
      </c>
      <c r="Q61" s="174">
        <f t="shared" si="45"/>
        <v>-35055</v>
      </c>
      <c r="R61" s="174">
        <f t="shared" si="46"/>
        <v>-37028</v>
      </c>
      <c r="S61" s="174">
        <f t="shared" si="47"/>
        <v>1973</v>
      </c>
    </row>
    <row r="62" spans="1:19" x14ac:dyDescent="0.35">
      <c r="A62" s="59" t="s">
        <v>678</v>
      </c>
      <c r="B62" s="59">
        <f>SUM(B53:B61)</f>
        <v>-2680302000</v>
      </c>
      <c r="C62" s="59">
        <f>SUM(C53:C61)</f>
        <v>-5072524370.0300007</v>
      </c>
      <c r="D62" s="59">
        <f>SUM(D53:D61)</f>
        <v>-5081515559.8400002</v>
      </c>
      <c r="E62" s="108">
        <f t="shared" si="42"/>
        <v>1.8958742559010142</v>
      </c>
      <c r="F62" s="59">
        <f>SUM(F53:F61)</f>
        <v>8991189.8099998534</v>
      </c>
      <c r="H62" s="59" t="s">
        <v>678</v>
      </c>
      <c r="I62" s="59">
        <f>SUM(I53:I61)</f>
        <v>-4769358341</v>
      </c>
      <c r="J62" s="59">
        <f>SUM(J53:J61)</f>
        <v>-4766149079</v>
      </c>
      <c r="K62" s="59">
        <f>SUM(K53:K61)</f>
        <v>-4722303647.9799995</v>
      </c>
      <c r="L62" s="108">
        <f t="shared" si="43"/>
        <v>0.99013395730501252</v>
      </c>
      <c r="M62" s="59">
        <f>SUM(M53:M61)</f>
        <v>-43845431.019999817</v>
      </c>
      <c r="O62" s="67" t="s">
        <v>678</v>
      </c>
      <c r="P62" s="176">
        <f t="shared" si="44"/>
        <v>-2680302</v>
      </c>
      <c r="Q62" s="176">
        <f t="shared" si="45"/>
        <v>-5072524</v>
      </c>
      <c r="R62" s="176">
        <f t="shared" si="46"/>
        <v>-5081516</v>
      </c>
      <c r="S62" s="176">
        <f t="shared" si="47"/>
        <v>8991</v>
      </c>
    </row>
    <row r="63" spans="1:19" x14ac:dyDescent="0.35">
      <c r="A63" s="59" t="s">
        <v>648</v>
      </c>
      <c r="B63" s="53"/>
      <c r="C63" s="53"/>
      <c r="D63" s="59">
        <f>SUM(D64:D67)</f>
        <v>-3477292</v>
      </c>
      <c r="E63" s="59"/>
      <c r="F63" s="53"/>
      <c r="H63" s="59" t="s">
        <v>648</v>
      </c>
      <c r="I63" s="53"/>
      <c r="J63" s="53"/>
      <c r="K63" s="59">
        <f>SUM(K64:K67)</f>
        <v>-14816628</v>
      </c>
      <c r="L63" s="59"/>
      <c r="M63" s="53"/>
      <c r="O63" s="67" t="s">
        <v>648</v>
      </c>
      <c r="P63" s="130"/>
      <c r="Q63" s="130"/>
      <c r="R63" s="176">
        <f t="shared" si="46"/>
        <v>-3477</v>
      </c>
      <c r="S63" s="130"/>
    </row>
    <row r="64" spans="1:19" x14ac:dyDescent="0.35">
      <c r="A64" s="53" t="s">
        <v>679</v>
      </c>
      <c r="B64" s="100"/>
      <c r="C64" s="101"/>
      <c r="D64" s="106">
        <v>179823808</v>
      </c>
      <c r="E64" s="106"/>
      <c r="F64" s="53"/>
      <c r="H64" s="53" t="s">
        <v>679</v>
      </c>
      <c r="I64" s="100"/>
      <c r="J64" s="101"/>
      <c r="K64" s="106">
        <v>164888213</v>
      </c>
      <c r="L64" s="106"/>
      <c r="M64" s="53"/>
      <c r="O64" s="177" t="s">
        <v>679</v>
      </c>
      <c r="P64" s="168"/>
      <c r="Q64" s="178"/>
      <c r="R64" s="174">
        <f t="shared" si="46"/>
        <v>179824</v>
      </c>
      <c r="S64" s="130"/>
    </row>
    <row r="65" spans="1:19" x14ac:dyDescent="0.35">
      <c r="A65" s="53" t="s">
        <v>680</v>
      </c>
      <c r="B65" s="53"/>
      <c r="C65" s="53"/>
      <c r="D65" s="106">
        <v>-183178204</v>
      </c>
      <c r="E65" s="106"/>
      <c r="F65" s="53"/>
      <c r="H65" s="53" t="s">
        <v>680</v>
      </c>
      <c r="I65" s="53"/>
      <c r="J65" s="53"/>
      <c r="K65" s="106">
        <v>-179823808</v>
      </c>
      <c r="L65" s="106"/>
      <c r="M65" s="53"/>
      <c r="O65" s="177" t="s">
        <v>680</v>
      </c>
      <c r="P65" s="130"/>
      <c r="Q65" s="130"/>
      <c r="R65" s="174">
        <f t="shared" si="46"/>
        <v>-183178</v>
      </c>
      <c r="S65" s="130"/>
    </row>
    <row r="66" spans="1:19" x14ac:dyDescent="0.35">
      <c r="A66" s="53" t="s">
        <v>681</v>
      </c>
      <c r="B66" s="53"/>
      <c r="C66" s="53"/>
      <c r="D66" s="106">
        <v>1502727</v>
      </c>
      <c r="E66" s="106"/>
      <c r="F66" s="53"/>
      <c r="H66" s="53" t="s">
        <v>681</v>
      </c>
      <c r="I66" s="53"/>
      <c r="J66" s="53"/>
      <c r="K66" s="106">
        <v>1621694</v>
      </c>
      <c r="L66" s="106"/>
      <c r="M66" s="53"/>
      <c r="O66" s="177" t="s">
        <v>681</v>
      </c>
      <c r="P66" s="130"/>
      <c r="Q66" s="130"/>
      <c r="R66" s="174">
        <f t="shared" si="46"/>
        <v>1503</v>
      </c>
      <c r="S66" s="130"/>
    </row>
    <row r="67" spans="1:19" x14ac:dyDescent="0.35">
      <c r="A67" s="53" t="s">
        <v>682</v>
      </c>
      <c r="B67" s="53"/>
      <c r="C67" s="53"/>
      <c r="D67" s="106">
        <v>-1625623</v>
      </c>
      <c r="E67" s="106"/>
      <c r="F67" s="53"/>
      <c r="H67" s="53" t="s">
        <v>682</v>
      </c>
      <c r="I67" s="53"/>
      <c r="J67" s="53"/>
      <c r="K67" s="106">
        <v>-1502727</v>
      </c>
      <c r="L67" s="106"/>
      <c r="M67" s="53"/>
      <c r="O67" s="177" t="s">
        <v>682</v>
      </c>
      <c r="P67" s="130"/>
      <c r="Q67" s="130"/>
      <c r="R67" s="174">
        <f t="shared" si="46"/>
        <v>-1626</v>
      </c>
      <c r="S67" s="130"/>
    </row>
    <row r="68" spans="1:19" x14ac:dyDescent="0.35">
      <c r="A68" s="59" t="s">
        <v>683</v>
      </c>
      <c r="B68" s="59">
        <f>B62</f>
        <v>-2680302000</v>
      </c>
      <c r="C68" s="59">
        <f>C62</f>
        <v>-5072524370.0300007</v>
      </c>
      <c r="D68" s="59">
        <f>D62+D63</f>
        <v>-5084992851.8400002</v>
      </c>
      <c r="E68" s="108">
        <f t="shared" ref="E68" si="48">D68/B68</f>
        <v>1.8971716067219291</v>
      </c>
      <c r="F68" s="59">
        <f>C68-D68</f>
        <v>12468481.809999466</v>
      </c>
      <c r="H68" s="59" t="s">
        <v>683</v>
      </c>
      <c r="I68" s="59">
        <f>I62</f>
        <v>-4769358341</v>
      </c>
      <c r="J68" s="59">
        <f>J62</f>
        <v>-4766149079</v>
      </c>
      <c r="K68" s="59">
        <f>K62+K63</f>
        <v>-4737120275.9799995</v>
      </c>
      <c r="L68" s="108">
        <f t="shared" ref="L68" si="49">K68/I68</f>
        <v>0.99324058652861869</v>
      </c>
      <c r="M68" s="59">
        <f>J68-K68</f>
        <v>-29028803.020000458</v>
      </c>
      <c r="O68" s="67" t="s">
        <v>683</v>
      </c>
      <c r="P68" s="176">
        <f t="shared" ref="P68" si="50">ROUND(B68/1000,0)</f>
        <v>-2680302</v>
      </c>
      <c r="Q68" s="176">
        <f t="shared" ref="Q68" si="51">ROUND(C68/1000,0)</f>
        <v>-5072524</v>
      </c>
      <c r="R68" s="176">
        <f t="shared" ref="R68" si="52">ROUND(D68/1000,0)</f>
        <v>-5084993</v>
      </c>
      <c r="S68" s="176">
        <f t="shared" ref="S68" si="53">ROUND(F68/1000,0)</f>
        <v>12468</v>
      </c>
    </row>
    <row r="69" spans="1:19" x14ac:dyDescent="0.35">
      <c r="A69" s="59" t="s">
        <v>684</v>
      </c>
      <c r="B69" s="53"/>
      <c r="C69" s="53"/>
      <c r="D69" s="53"/>
      <c r="E69" s="96"/>
      <c r="F69" s="53"/>
      <c r="G69" s="26"/>
      <c r="H69" s="59" t="s">
        <v>684</v>
      </c>
      <c r="I69" s="53"/>
      <c r="J69" s="53"/>
      <c r="K69" s="53"/>
      <c r="L69" s="96"/>
      <c r="M69" s="53"/>
      <c r="N69" s="26"/>
      <c r="O69" s="67" t="s">
        <v>684</v>
      </c>
      <c r="P69" s="130"/>
      <c r="Q69" s="130"/>
      <c r="R69" s="130"/>
      <c r="S69" s="130"/>
    </row>
    <row r="70" spans="1:19" x14ac:dyDescent="0.35">
      <c r="A70" s="104" t="s">
        <v>669</v>
      </c>
      <c r="B70" s="105">
        <f>B53</f>
        <v>-1950314000</v>
      </c>
      <c r="C70" s="106">
        <f t="shared" ref="C70:D74" si="54">C53</f>
        <v>-1964652570.96</v>
      </c>
      <c r="D70" s="109">
        <f t="shared" si="54"/>
        <v>-1981891756</v>
      </c>
      <c r="E70" s="107">
        <f t="shared" ref="E70:E79" si="55">D70/B70</f>
        <v>1.0161911138411559</v>
      </c>
      <c r="F70" s="106">
        <f t="shared" ref="F70:F79" si="56">C70-D70</f>
        <v>17239185.039999962</v>
      </c>
      <c r="G70" s="26" t="s">
        <v>886</v>
      </c>
      <c r="H70" s="104" t="s">
        <v>669</v>
      </c>
      <c r="I70" s="105">
        <f>I53</f>
        <v>-1874172000</v>
      </c>
      <c r="J70" s="106">
        <f t="shared" ref="J70:K70" si="57">J53</f>
        <v>-1889272998.24</v>
      </c>
      <c r="K70" s="109">
        <f t="shared" si="57"/>
        <v>-1868362948</v>
      </c>
      <c r="L70" s="107">
        <f t="shared" ref="L70:L79" si="58">K70/I70</f>
        <v>0.99690047018096528</v>
      </c>
      <c r="M70" s="106">
        <f t="shared" ref="M70:M79" si="59">J70-K70</f>
        <v>-20910050.24000001</v>
      </c>
      <c r="N70" s="26"/>
      <c r="O70" s="182" t="s">
        <v>669</v>
      </c>
      <c r="P70" s="174">
        <f t="shared" ref="P70" si="60">ROUND(B70/1000,0)</f>
        <v>-1950314</v>
      </c>
      <c r="Q70" s="174">
        <f t="shared" ref="Q70" si="61">ROUND(C70/1000,0)</f>
        <v>-1964653</v>
      </c>
      <c r="R70" s="174">
        <f t="shared" ref="R70" si="62">ROUND(D70/1000,0)</f>
        <v>-1981892</v>
      </c>
      <c r="S70" s="174">
        <f t="shared" ref="S70" si="63">ROUND(F70/1000,0)</f>
        <v>17239</v>
      </c>
    </row>
    <row r="71" spans="1:19" x14ac:dyDescent="0.35">
      <c r="A71" s="104" t="s">
        <v>670</v>
      </c>
      <c r="B71" s="105">
        <v>-342500000</v>
      </c>
      <c r="C71" s="109">
        <f t="shared" si="54"/>
        <v>-337227227.67000002</v>
      </c>
      <c r="D71" s="109">
        <f>D54</f>
        <v>-336388464.17999995</v>
      </c>
      <c r="E71" s="107">
        <f t="shared" si="55"/>
        <v>0.98215609979562024</v>
      </c>
      <c r="F71" s="106">
        <f t="shared" si="56"/>
        <v>-838763.49000006914</v>
      </c>
      <c r="G71" s="26" t="s">
        <v>887</v>
      </c>
      <c r="H71" s="104" t="s">
        <v>670</v>
      </c>
      <c r="I71" s="105">
        <f t="shared" ref="I71:K71" si="64">I54</f>
        <v>-332000000</v>
      </c>
      <c r="J71" s="109">
        <f t="shared" si="64"/>
        <v>-324516002.72000003</v>
      </c>
      <c r="K71" s="109">
        <f t="shared" si="64"/>
        <v>-321050700.57000005</v>
      </c>
      <c r="L71" s="107">
        <f t="shared" si="58"/>
        <v>0.96702018243975918</v>
      </c>
      <c r="M71" s="106">
        <f t="shared" si="59"/>
        <v>-3465302.1499999762</v>
      </c>
      <c r="N71" s="26"/>
      <c r="O71" s="182" t="s">
        <v>670</v>
      </c>
      <c r="P71" s="174">
        <f t="shared" ref="P71:P79" si="65">ROUND(B71/1000,0)</f>
        <v>-342500</v>
      </c>
      <c r="Q71" s="174">
        <f t="shared" ref="Q71:Q79" si="66">ROUND(C71/1000,0)</f>
        <v>-337227</v>
      </c>
      <c r="R71" s="174">
        <f t="shared" ref="R71:R80" si="67">ROUND(D71/1000,0)</f>
        <v>-336388</v>
      </c>
      <c r="S71" s="174">
        <f t="shared" ref="S71:S79" si="68">ROUND(F71/1000,0)</f>
        <v>-839</v>
      </c>
    </row>
    <row r="72" spans="1:19" x14ac:dyDescent="0.35">
      <c r="A72" s="104" t="s">
        <v>685</v>
      </c>
      <c r="B72" s="105">
        <f t="shared" ref="B72:C78" si="69">B55</f>
        <v>-322000000</v>
      </c>
      <c r="C72" s="106">
        <f t="shared" si="54"/>
        <v>-327793916.05000001</v>
      </c>
      <c r="D72" s="109">
        <f t="shared" si="54"/>
        <v>-327270171</v>
      </c>
      <c r="E72" s="107">
        <f t="shared" si="55"/>
        <v>1.0163669906832298</v>
      </c>
      <c r="F72" s="106">
        <f t="shared" si="56"/>
        <v>-523745.05000001192</v>
      </c>
      <c r="G72" s="26" t="s">
        <v>989</v>
      </c>
      <c r="H72" s="104" t="s">
        <v>685</v>
      </c>
      <c r="I72" s="105">
        <f t="shared" ref="I72:K72" si="70">I55</f>
        <v>-313000000</v>
      </c>
      <c r="J72" s="106">
        <f t="shared" si="70"/>
        <v>-311037783.16000003</v>
      </c>
      <c r="K72" s="109">
        <f t="shared" si="70"/>
        <v>-308724442</v>
      </c>
      <c r="L72" s="107">
        <f t="shared" si="58"/>
        <v>0.98634007028753989</v>
      </c>
      <c r="M72" s="106">
        <f t="shared" si="59"/>
        <v>-2313341.1600000262</v>
      </c>
      <c r="N72" s="26"/>
      <c r="O72" s="182" t="s">
        <v>685</v>
      </c>
      <c r="P72" s="174">
        <f t="shared" si="65"/>
        <v>-322000</v>
      </c>
      <c r="Q72" s="174">
        <f t="shared" si="66"/>
        <v>-327794</v>
      </c>
      <c r="R72" s="174">
        <f t="shared" si="67"/>
        <v>-327270</v>
      </c>
      <c r="S72" s="174">
        <f t="shared" si="68"/>
        <v>-524</v>
      </c>
    </row>
    <row r="73" spans="1:19" x14ac:dyDescent="0.35">
      <c r="A73" s="104" t="s">
        <v>672</v>
      </c>
      <c r="B73" s="105">
        <f t="shared" si="69"/>
        <v>-247000000</v>
      </c>
      <c r="C73" s="106">
        <f t="shared" si="54"/>
        <v>-255444427.59</v>
      </c>
      <c r="D73" s="109">
        <f t="shared" si="54"/>
        <v>-249374982.33000001</v>
      </c>
      <c r="E73" s="107">
        <f t="shared" si="55"/>
        <v>1.0096153130769232</v>
      </c>
      <c r="F73" s="106">
        <f t="shared" si="56"/>
        <v>-6069445.2599999905</v>
      </c>
      <c r="G73" s="26" t="s">
        <v>887</v>
      </c>
      <c r="H73" s="104" t="s">
        <v>672</v>
      </c>
      <c r="I73" s="105">
        <f t="shared" ref="I73:K73" si="71">I56</f>
        <v>-166000000</v>
      </c>
      <c r="J73" s="106">
        <f t="shared" si="71"/>
        <v>-179062265.62</v>
      </c>
      <c r="K73" s="109">
        <f t="shared" si="71"/>
        <v>-178196136.34</v>
      </c>
      <c r="L73" s="107">
        <f t="shared" si="58"/>
        <v>1.0734707008433735</v>
      </c>
      <c r="M73" s="106">
        <f t="shared" si="59"/>
        <v>-866129.28000000119</v>
      </c>
      <c r="N73" s="26"/>
      <c r="O73" s="182" t="s">
        <v>672</v>
      </c>
      <c r="P73" s="174">
        <f t="shared" si="65"/>
        <v>-247000</v>
      </c>
      <c r="Q73" s="174">
        <f t="shared" si="66"/>
        <v>-255444</v>
      </c>
      <c r="R73" s="174">
        <f t="shared" si="67"/>
        <v>-249375</v>
      </c>
      <c r="S73" s="174">
        <f t="shared" si="68"/>
        <v>-6069</v>
      </c>
    </row>
    <row r="74" spans="1:19" x14ac:dyDescent="0.35">
      <c r="A74" s="104" t="s">
        <v>673</v>
      </c>
      <c r="B74" s="105">
        <f t="shared" si="69"/>
        <v>-80000000</v>
      </c>
      <c r="C74" s="106">
        <f t="shared" si="54"/>
        <v>-81013073.010000005</v>
      </c>
      <c r="D74" s="109">
        <f t="shared" si="54"/>
        <v>-80611466</v>
      </c>
      <c r="E74" s="107">
        <f t="shared" si="55"/>
        <v>1.0076433250000001</v>
      </c>
      <c r="F74" s="106">
        <f t="shared" si="56"/>
        <v>-401607.01000000536</v>
      </c>
      <c r="G74" s="26" t="s">
        <v>886</v>
      </c>
      <c r="H74" s="104" t="s">
        <v>673</v>
      </c>
      <c r="I74" s="105">
        <f t="shared" ref="I74:K74" si="72">I57</f>
        <v>-58000000</v>
      </c>
      <c r="J74" s="106">
        <f t="shared" si="72"/>
        <v>-58586961.979999997</v>
      </c>
      <c r="K74" s="109">
        <f t="shared" si="72"/>
        <v>-58495302</v>
      </c>
      <c r="L74" s="107">
        <f t="shared" si="58"/>
        <v>1.0085396896551724</v>
      </c>
      <c r="M74" s="106">
        <f t="shared" si="59"/>
        <v>-91659.979999996722</v>
      </c>
      <c r="N74" s="26"/>
      <c r="O74" s="182" t="s">
        <v>673</v>
      </c>
      <c r="P74" s="174">
        <f t="shared" si="65"/>
        <v>-80000</v>
      </c>
      <c r="Q74" s="174">
        <f t="shared" si="66"/>
        <v>-81013</v>
      </c>
      <c r="R74" s="174">
        <f t="shared" si="67"/>
        <v>-80611</v>
      </c>
      <c r="S74" s="174">
        <f t="shared" si="68"/>
        <v>-402</v>
      </c>
    </row>
    <row r="75" spans="1:19" x14ac:dyDescent="0.35">
      <c r="A75" s="104" t="s">
        <v>876</v>
      </c>
      <c r="B75" s="105">
        <v>-2007878960</v>
      </c>
      <c r="C75" s="106">
        <f>C58</f>
        <v>-2023578586.97</v>
      </c>
      <c r="D75" s="109">
        <f>D58+D64+D65</f>
        <v>-2025375927</v>
      </c>
      <c r="E75" s="107">
        <f t="shared" si="55"/>
        <v>1.0087141542635618</v>
      </c>
      <c r="F75" s="106">
        <f t="shared" si="56"/>
        <v>1797340.0299999714</v>
      </c>
      <c r="G75" s="26" t="s">
        <v>887</v>
      </c>
      <c r="H75" s="104" t="s">
        <v>674</v>
      </c>
      <c r="I75" s="105">
        <f t="shared" ref="I75" si="73">I58</f>
        <v>-1948536341</v>
      </c>
      <c r="J75" s="106">
        <f>J58</f>
        <v>-1924728484.2099998</v>
      </c>
      <c r="K75" s="109">
        <f>K58+K64+K65</f>
        <v>-1925162184</v>
      </c>
      <c r="L75" s="107">
        <f t="shared" si="58"/>
        <v>0.98800424887738858</v>
      </c>
      <c r="M75" s="106">
        <f t="shared" si="59"/>
        <v>433699.79000020027</v>
      </c>
      <c r="N75" s="26"/>
      <c r="O75" s="182" t="s">
        <v>876</v>
      </c>
      <c r="P75" s="174">
        <f t="shared" si="65"/>
        <v>-2007879</v>
      </c>
      <c r="Q75" s="174">
        <f t="shared" si="66"/>
        <v>-2023579</v>
      </c>
      <c r="R75" s="174">
        <f t="shared" si="67"/>
        <v>-2025376</v>
      </c>
      <c r="S75" s="174">
        <f t="shared" si="68"/>
        <v>1797</v>
      </c>
    </row>
    <row r="76" spans="1:19" x14ac:dyDescent="0.35">
      <c r="A76" s="104" t="s">
        <v>675</v>
      </c>
      <c r="B76" s="105">
        <f t="shared" si="69"/>
        <v>-18655000</v>
      </c>
      <c r="C76" s="106">
        <f>C59</f>
        <v>-18078298.050000001</v>
      </c>
      <c r="D76" s="109">
        <f>D59+D66+D67</f>
        <v>-17760355</v>
      </c>
      <c r="E76" s="107">
        <f t="shared" si="55"/>
        <v>0.95204261592066475</v>
      </c>
      <c r="F76" s="106">
        <f t="shared" si="56"/>
        <v>-317943.05000000075</v>
      </c>
      <c r="G76" s="26"/>
      <c r="H76" s="104" t="s">
        <v>675</v>
      </c>
      <c r="I76" s="105">
        <f t="shared" ref="I76" si="74">I59</f>
        <v>-17675000</v>
      </c>
      <c r="J76" s="106">
        <f>J59</f>
        <v>-17582909.129999999</v>
      </c>
      <c r="K76" s="109">
        <f>K59+K66+K67</f>
        <v>-17386336</v>
      </c>
      <c r="L76" s="107">
        <f t="shared" si="58"/>
        <v>0.9836682319660538</v>
      </c>
      <c r="M76" s="106">
        <f t="shared" si="59"/>
        <v>-196573.12999999896</v>
      </c>
      <c r="N76" s="26"/>
      <c r="O76" s="182" t="s">
        <v>675</v>
      </c>
      <c r="P76" s="174">
        <f t="shared" si="65"/>
        <v>-18655</v>
      </c>
      <c r="Q76" s="174">
        <f t="shared" si="66"/>
        <v>-18078</v>
      </c>
      <c r="R76" s="174">
        <f t="shared" si="67"/>
        <v>-17760</v>
      </c>
      <c r="S76" s="174">
        <f t="shared" si="68"/>
        <v>-318</v>
      </c>
    </row>
    <row r="77" spans="1:19" x14ac:dyDescent="0.35">
      <c r="A77" s="104" t="s">
        <v>676</v>
      </c>
      <c r="B77" s="105">
        <f t="shared" si="69"/>
        <v>-28584000</v>
      </c>
      <c r="C77" s="105">
        <f t="shared" si="69"/>
        <v>-29681185.870000001</v>
      </c>
      <c r="D77" s="109">
        <f>D60</f>
        <v>-29291742</v>
      </c>
      <c r="E77" s="107">
        <f t="shared" si="55"/>
        <v>1.0247600755667505</v>
      </c>
      <c r="F77" s="106">
        <f t="shared" si="56"/>
        <v>-389443.87000000104</v>
      </c>
      <c r="G77" s="26"/>
      <c r="H77" s="104" t="s">
        <v>676</v>
      </c>
      <c r="I77" s="105">
        <f t="shared" ref="I77:J77" si="75">I60</f>
        <v>-28250000</v>
      </c>
      <c r="J77" s="105">
        <f t="shared" si="75"/>
        <v>-27769101.350000001</v>
      </c>
      <c r="K77" s="109">
        <f>K60</f>
        <v>-26801878</v>
      </c>
      <c r="L77" s="107">
        <f t="shared" si="58"/>
        <v>0.94873904424778766</v>
      </c>
      <c r="M77" s="106">
        <f t="shared" si="59"/>
        <v>-967223.35000000149</v>
      </c>
      <c r="N77" s="26"/>
      <c r="O77" s="182" t="s">
        <v>676</v>
      </c>
      <c r="P77" s="174">
        <f t="shared" si="65"/>
        <v>-28584</v>
      </c>
      <c r="Q77" s="174">
        <f t="shared" si="66"/>
        <v>-29681</v>
      </c>
      <c r="R77" s="174">
        <f t="shared" si="67"/>
        <v>-29292</v>
      </c>
      <c r="S77" s="174">
        <f t="shared" si="68"/>
        <v>-389</v>
      </c>
    </row>
    <row r="78" spans="1:19" x14ac:dyDescent="0.35">
      <c r="A78" s="104" t="s">
        <v>677</v>
      </c>
      <c r="B78" s="105">
        <f t="shared" si="69"/>
        <v>-33749000</v>
      </c>
      <c r="C78" s="105">
        <f t="shared" si="69"/>
        <v>-35055083.859999999</v>
      </c>
      <c r="D78" s="109">
        <f>D61</f>
        <v>-37027988.329999998</v>
      </c>
      <c r="E78" s="107">
        <f t="shared" si="55"/>
        <v>1.0971580885359566</v>
      </c>
      <c r="F78" s="106">
        <f t="shared" si="56"/>
        <v>1972904.4699999988</v>
      </c>
      <c r="G78" s="26" t="s">
        <v>886</v>
      </c>
      <c r="H78" s="104" t="s">
        <v>677</v>
      </c>
      <c r="I78" s="105">
        <f t="shared" ref="I78:J78" si="76">I61</f>
        <v>-31725000</v>
      </c>
      <c r="J78" s="105">
        <f t="shared" si="76"/>
        <v>-33592572.590000004</v>
      </c>
      <c r="K78" s="109">
        <f>K61</f>
        <v>-32940349.07</v>
      </c>
      <c r="L78" s="107">
        <f t="shared" si="58"/>
        <v>1.0383088753349095</v>
      </c>
      <c r="M78" s="106">
        <f t="shared" si="59"/>
        <v>-652223.52000000328</v>
      </c>
      <c r="N78" s="26"/>
      <c r="O78" s="182" t="s">
        <v>677</v>
      </c>
      <c r="P78" s="174">
        <f t="shared" si="65"/>
        <v>-33749</v>
      </c>
      <c r="Q78" s="174">
        <f t="shared" si="66"/>
        <v>-35055</v>
      </c>
      <c r="R78" s="174">
        <f t="shared" si="67"/>
        <v>-37028</v>
      </c>
      <c r="S78" s="174">
        <f t="shared" si="68"/>
        <v>1973</v>
      </c>
    </row>
    <row r="79" spans="1:19" x14ac:dyDescent="0.35">
      <c r="A79" s="59" t="s">
        <v>678</v>
      </c>
      <c r="B79" s="59">
        <f>SUM(B70:B78)</f>
        <v>-5030680960</v>
      </c>
      <c r="C79" s="59">
        <f>SUM(C70:C78)</f>
        <v>-5072524370.0300007</v>
      </c>
      <c r="D79" s="59">
        <f>SUM(D70:D78)</f>
        <v>-5084992851.8400002</v>
      </c>
      <c r="E79" s="108">
        <f t="shared" si="55"/>
        <v>1.0107961312338918</v>
      </c>
      <c r="F79" s="110">
        <f t="shared" si="56"/>
        <v>12468481.809999466</v>
      </c>
      <c r="G79" s="26"/>
      <c r="H79" s="59" t="s">
        <v>678</v>
      </c>
      <c r="I79" s="59">
        <f>SUM(I70:I78)</f>
        <v>-4769358341</v>
      </c>
      <c r="J79" s="59">
        <f>SUM(J70:J78)</f>
        <v>-4766149079</v>
      </c>
      <c r="K79" s="59">
        <f>SUM(K70:K78)</f>
        <v>-4737120275.9799995</v>
      </c>
      <c r="L79" s="108">
        <f t="shared" si="58"/>
        <v>0.99324058652861869</v>
      </c>
      <c r="M79" s="110">
        <f t="shared" si="59"/>
        <v>-29028803.020000458</v>
      </c>
      <c r="N79" s="26"/>
      <c r="O79" s="67" t="s">
        <v>678</v>
      </c>
      <c r="P79" s="176">
        <f t="shared" si="65"/>
        <v>-5030681</v>
      </c>
      <c r="Q79" s="176">
        <f t="shared" si="66"/>
        <v>-5072524</v>
      </c>
      <c r="R79" s="176">
        <f t="shared" si="67"/>
        <v>-5084993</v>
      </c>
      <c r="S79" s="176">
        <f t="shared" si="68"/>
        <v>12468</v>
      </c>
    </row>
    <row r="80" spans="1:19" x14ac:dyDescent="0.35">
      <c r="A80" s="26"/>
      <c r="B80" s="26"/>
      <c r="C80" s="26">
        <f>-5078965343.88-C139</f>
        <v>-5072524370.0299997</v>
      </c>
      <c r="D80" s="26"/>
      <c r="E80" s="102"/>
      <c r="F80" s="26"/>
      <c r="G80" s="26"/>
      <c r="H80" s="26"/>
      <c r="I80" s="26"/>
      <c r="J80" s="26"/>
      <c r="K80" s="26"/>
      <c r="L80" s="102"/>
      <c r="M80" s="26"/>
      <c r="N80" s="26"/>
      <c r="O80" s="179"/>
      <c r="R80" s="173">
        <f t="shared" si="67"/>
        <v>0</v>
      </c>
    </row>
    <row r="81" spans="1:18" x14ac:dyDescent="0.35">
      <c r="A81" s="52" t="s">
        <v>686</v>
      </c>
      <c r="B81" s="26"/>
      <c r="C81" s="26"/>
      <c r="D81" s="26"/>
      <c r="E81" s="102"/>
      <c r="F81" s="26"/>
      <c r="G81" s="65"/>
      <c r="H81" s="52" t="s">
        <v>686</v>
      </c>
      <c r="I81" s="26"/>
      <c r="J81" s="26"/>
      <c r="K81" s="26"/>
      <c r="L81" s="102"/>
      <c r="M81" s="26"/>
      <c r="N81" s="65"/>
      <c r="O81" s="180"/>
    </row>
    <row r="82" spans="1:18" x14ac:dyDescent="0.35">
      <c r="A82" s="53" t="s">
        <v>687</v>
      </c>
      <c r="B82" s="53" t="s">
        <v>688</v>
      </c>
      <c r="C82" s="53" t="s">
        <v>689</v>
      </c>
      <c r="D82" s="53" t="s">
        <v>690</v>
      </c>
      <c r="E82" s="96" t="s">
        <v>920</v>
      </c>
      <c r="F82" s="53" t="s">
        <v>921</v>
      </c>
      <c r="G82" s="59" t="s">
        <v>693</v>
      </c>
      <c r="H82" s="53" t="s">
        <v>687</v>
      </c>
      <c r="I82" s="53" t="s">
        <v>688</v>
      </c>
      <c r="J82" s="53" t="s">
        <v>689</v>
      </c>
      <c r="K82" s="53" t="s">
        <v>690</v>
      </c>
      <c r="L82" s="96" t="s">
        <v>854</v>
      </c>
      <c r="M82" s="53" t="s">
        <v>855</v>
      </c>
      <c r="N82" s="59" t="s">
        <v>693</v>
      </c>
      <c r="O82" s="179"/>
    </row>
    <row r="83" spans="1:18" x14ac:dyDescent="0.35">
      <c r="A83" s="53" t="s">
        <v>694</v>
      </c>
      <c r="B83" s="4">
        <v>10</v>
      </c>
      <c r="C83" s="147">
        <v>3000</v>
      </c>
      <c r="D83" s="111">
        <f>D34+D53-D85</f>
        <v>1111588985.3699999</v>
      </c>
      <c r="E83" s="96"/>
      <c r="F83" s="53"/>
      <c r="G83" s="112">
        <f t="shared" ref="G83:G103" si="77">SUM(D83:F83)</f>
        <v>1111588985.3699999</v>
      </c>
      <c r="H83" s="53" t="s">
        <v>694</v>
      </c>
      <c r="I83" s="4">
        <v>10</v>
      </c>
      <c r="J83" s="147">
        <v>3000</v>
      </c>
      <c r="K83" s="111">
        <f>K34+K53-K85</f>
        <v>727175944.25999999</v>
      </c>
      <c r="L83" s="96"/>
      <c r="M83" s="53"/>
      <c r="N83" s="112">
        <f t="shared" ref="N83:N99" si="78">SUM(K83:M83)</f>
        <v>727175944.25999999</v>
      </c>
      <c r="O83" s="179"/>
      <c r="R83" s="169"/>
    </row>
    <row r="84" spans="1:18" x14ac:dyDescent="0.35">
      <c r="A84" s="53" t="s">
        <v>694</v>
      </c>
      <c r="B84" s="4">
        <v>50</v>
      </c>
      <c r="C84" s="147">
        <v>3000</v>
      </c>
      <c r="D84" s="53">
        <f>D70*-1</f>
        <v>1981891756</v>
      </c>
      <c r="E84" s="96"/>
      <c r="F84" s="53"/>
      <c r="G84" s="112">
        <f t="shared" si="77"/>
        <v>1981891756</v>
      </c>
      <c r="H84" s="53" t="s">
        <v>694</v>
      </c>
      <c r="I84" s="4">
        <v>50</v>
      </c>
      <c r="J84" s="147">
        <v>3000</v>
      </c>
      <c r="K84" s="53">
        <f>K70*-1</f>
        <v>1868362948</v>
      </c>
      <c r="L84" s="96"/>
      <c r="M84" s="53"/>
      <c r="N84" s="112">
        <f t="shared" si="78"/>
        <v>1868362948</v>
      </c>
      <c r="O84" s="179"/>
    </row>
    <row r="85" spans="1:18" x14ac:dyDescent="0.35">
      <c r="A85" s="53" t="s">
        <v>695</v>
      </c>
      <c r="B85" s="4">
        <v>10</v>
      </c>
      <c r="C85" s="147">
        <v>3001</v>
      </c>
      <c r="D85" s="53">
        <v>1125271050.71</v>
      </c>
      <c r="E85" s="96"/>
      <c r="F85" s="53"/>
      <c r="G85" s="112">
        <f t="shared" si="77"/>
        <v>1125271050.71</v>
      </c>
      <c r="H85" s="53" t="s">
        <v>695</v>
      </c>
      <c r="I85" s="4">
        <v>10</v>
      </c>
      <c r="J85" s="147">
        <v>3001</v>
      </c>
      <c r="K85" s="53">
        <v>962824894.97000003</v>
      </c>
      <c r="L85" s="96"/>
      <c r="M85" s="53"/>
      <c r="N85" s="112">
        <f t="shared" si="78"/>
        <v>962824894.97000003</v>
      </c>
      <c r="O85" s="179"/>
    </row>
    <row r="86" spans="1:18" x14ac:dyDescent="0.35">
      <c r="A86" s="53" t="s">
        <v>696</v>
      </c>
      <c r="B86" s="4">
        <v>51</v>
      </c>
      <c r="C86" s="147">
        <v>30200</v>
      </c>
      <c r="D86" s="53">
        <v>3120416809.7800002</v>
      </c>
      <c r="E86" s="53">
        <v>-276966512.04000002</v>
      </c>
      <c r="F86" s="53">
        <v>281895464.72000003</v>
      </c>
      <c r="G86" s="112">
        <f t="shared" si="77"/>
        <v>3125345762.46</v>
      </c>
      <c r="H86" s="53" t="s">
        <v>696</v>
      </c>
      <c r="I86" s="4">
        <v>51</v>
      </c>
      <c r="J86" s="147">
        <v>30200</v>
      </c>
      <c r="K86" s="53">
        <v>2943649821.5</v>
      </c>
      <c r="L86" s="53">
        <v>-255711059.61000001</v>
      </c>
      <c r="M86" s="53">
        <v>276966512.04000002</v>
      </c>
      <c r="N86" s="112">
        <f t="shared" si="78"/>
        <v>2964905273.9299998</v>
      </c>
      <c r="O86" s="179"/>
    </row>
    <row r="87" spans="1:18" x14ac:dyDescent="0.35">
      <c r="A87" s="53" t="s">
        <v>896</v>
      </c>
      <c r="B87" s="4">
        <v>51</v>
      </c>
      <c r="C87" s="147">
        <v>30201</v>
      </c>
      <c r="D87" s="53">
        <v>2022421950.49</v>
      </c>
      <c r="E87" s="53">
        <v>-179765199.15000001</v>
      </c>
      <c r="F87" s="53">
        <v>182494567.50999999</v>
      </c>
      <c r="G87" s="112">
        <f t="shared" si="77"/>
        <v>2025151318.8499999</v>
      </c>
      <c r="H87" s="53" t="s">
        <v>697</v>
      </c>
      <c r="I87" s="4">
        <v>51</v>
      </c>
      <c r="J87" s="147">
        <v>30201</v>
      </c>
      <c r="K87" s="53">
        <v>1910570080.5599999</v>
      </c>
      <c r="L87" s="53">
        <v>-165940301.38999999</v>
      </c>
      <c r="M87" s="53">
        <v>179765199.15000001</v>
      </c>
      <c r="N87" s="112">
        <f t="shared" si="78"/>
        <v>1924394978.3200002</v>
      </c>
      <c r="O87" s="179"/>
    </row>
    <row r="88" spans="1:18" x14ac:dyDescent="0.35">
      <c r="A88" s="53" t="s">
        <v>216</v>
      </c>
      <c r="B88" s="4">
        <v>52</v>
      </c>
      <c r="C88" s="147">
        <v>3025</v>
      </c>
      <c r="D88" s="53">
        <f>D5</f>
        <v>327347478.88</v>
      </c>
      <c r="E88" s="96"/>
      <c r="F88" s="53"/>
      <c r="G88" s="112">
        <f t="shared" si="77"/>
        <v>327347478.88</v>
      </c>
      <c r="H88" s="53" t="s">
        <v>216</v>
      </c>
      <c r="I88" s="4">
        <v>52</v>
      </c>
      <c r="J88" s="147">
        <v>3025</v>
      </c>
      <c r="K88" s="53">
        <f>K5</f>
        <v>308775101.93000001</v>
      </c>
      <c r="L88" s="96"/>
      <c r="M88" s="53"/>
      <c r="N88" s="112">
        <f t="shared" si="78"/>
        <v>308775101.93000001</v>
      </c>
      <c r="O88" s="179"/>
    </row>
    <row r="89" spans="1:18" x14ac:dyDescent="0.35">
      <c r="A89" s="53" t="s">
        <v>218</v>
      </c>
      <c r="B89" s="4">
        <v>53</v>
      </c>
      <c r="C89" s="147">
        <v>3026</v>
      </c>
      <c r="D89" s="53">
        <f>D6</f>
        <v>249345025.06</v>
      </c>
      <c r="E89" s="96"/>
      <c r="F89" s="53"/>
      <c r="G89" s="112">
        <f t="shared" si="77"/>
        <v>249345025.06</v>
      </c>
      <c r="H89" s="53" t="s">
        <v>218</v>
      </c>
      <c r="I89" s="4">
        <v>53</v>
      </c>
      <c r="J89" s="147">
        <v>3026</v>
      </c>
      <c r="K89" s="53">
        <f>K6</f>
        <v>178032845.28999999</v>
      </c>
      <c r="L89" s="96"/>
      <c r="M89" s="53"/>
      <c r="N89" s="112">
        <f t="shared" si="78"/>
        <v>178032845.28999999</v>
      </c>
      <c r="O89" s="179"/>
    </row>
    <row r="90" spans="1:18" x14ac:dyDescent="0.35">
      <c r="A90" s="53" t="s">
        <v>222</v>
      </c>
      <c r="B90" s="4">
        <v>54</v>
      </c>
      <c r="C90" s="147">
        <v>3030</v>
      </c>
      <c r="D90" s="53">
        <f>D12</f>
        <v>80533808.670000002</v>
      </c>
      <c r="E90" s="96"/>
      <c r="F90" s="53"/>
      <c r="G90" s="112">
        <f t="shared" si="77"/>
        <v>80533808.670000002</v>
      </c>
      <c r="H90" s="53" t="s">
        <v>222</v>
      </c>
      <c r="I90" s="4">
        <v>54</v>
      </c>
      <c r="J90" s="147">
        <v>3030</v>
      </c>
      <c r="K90" s="53">
        <f>K12</f>
        <v>58465007.420000002</v>
      </c>
      <c r="L90" s="96"/>
      <c r="M90" s="53"/>
      <c r="N90" s="112">
        <f t="shared" si="78"/>
        <v>58465007.420000002</v>
      </c>
      <c r="O90" s="179"/>
    </row>
    <row r="91" spans="1:18" x14ac:dyDescent="0.35">
      <c r="A91" s="53" t="s">
        <v>644</v>
      </c>
      <c r="B91" s="4">
        <v>10</v>
      </c>
      <c r="C91" s="147">
        <v>3031</v>
      </c>
      <c r="D91" s="53">
        <f>D9</f>
        <v>4580075.66</v>
      </c>
      <c r="E91" s="96"/>
      <c r="F91" s="53"/>
      <c r="G91" s="112">
        <f t="shared" si="77"/>
        <v>4580075.66</v>
      </c>
      <c r="H91" s="53" t="s">
        <v>644</v>
      </c>
      <c r="I91" s="4">
        <v>10</v>
      </c>
      <c r="J91" s="147">
        <v>3031</v>
      </c>
      <c r="K91" s="53">
        <f>K9</f>
        <v>4748627.45</v>
      </c>
      <c r="L91" s="96"/>
      <c r="M91" s="53"/>
      <c r="N91" s="112">
        <f t="shared" si="78"/>
        <v>4748627.45</v>
      </c>
      <c r="O91" s="179"/>
    </row>
    <row r="92" spans="1:18" x14ac:dyDescent="0.35">
      <c r="A92" s="53" t="s">
        <v>1146</v>
      </c>
      <c r="B92" s="4">
        <v>10</v>
      </c>
      <c r="C92" s="147">
        <v>3032</v>
      </c>
      <c r="D92" s="53">
        <f>D41</f>
        <v>87140168.090000004</v>
      </c>
      <c r="E92" s="96"/>
      <c r="F92" s="53"/>
      <c r="G92" s="112">
        <f t="shared" si="77"/>
        <v>87140168.090000004</v>
      </c>
      <c r="H92" s="53"/>
      <c r="I92" s="4"/>
      <c r="J92" s="147"/>
      <c r="K92" s="53"/>
      <c r="L92" s="96"/>
      <c r="M92" s="53"/>
      <c r="N92" s="112"/>
      <c r="O92" s="179"/>
    </row>
    <row r="93" spans="1:18" x14ac:dyDescent="0.35">
      <c r="A93" s="53" t="s">
        <v>209</v>
      </c>
      <c r="B93" s="4">
        <v>10</v>
      </c>
      <c r="C93" s="147">
        <v>3040</v>
      </c>
      <c r="D93" s="53">
        <f>D7</f>
        <v>4163596785.23</v>
      </c>
      <c r="E93" s="53">
        <v>-411318936.44999999</v>
      </c>
      <c r="F93" s="53">
        <f>D19</f>
        <v>423573342.91000003</v>
      </c>
      <c r="G93" s="112">
        <f t="shared" si="77"/>
        <v>4175851191.6900001</v>
      </c>
      <c r="H93" s="53" t="s">
        <v>209</v>
      </c>
      <c r="I93" s="4">
        <v>10</v>
      </c>
      <c r="J93" s="147">
        <v>3040</v>
      </c>
      <c r="K93" s="53">
        <f>K7</f>
        <v>3785154253.48</v>
      </c>
      <c r="L93" s="53">
        <v>-350160285.49000001</v>
      </c>
      <c r="M93" s="53">
        <f>K19</f>
        <v>411318936.44999999</v>
      </c>
      <c r="N93" s="112">
        <f t="shared" si="78"/>
        <v>3846312904.4399996</v>
      </c>
      <c r="O93" s="179"/>
    </row>
    <row r="94" spans="1:18" x14ac:dyDescent="0.35">
      <c r="A94" s="53" t="s">
        <v>698</v>
      </c>
      <c r="B94" s="4">
        <v>10</v>
      </c>
      <c r="C94" s="147">
        <v>30420</v>
      </c>
      <c r="D94" s="53">
        <f>252252187.23-D95</f>
        <v>234614728.22999999</v>
      </c>
      <c r="E94" s="53">
        <f>-46963979.62-E95</f>
        <v>-45461252.619999997</v>
      </c>
      <c r="F94" s="53">
        <f>51500696.26-F95</f>
        <v>49875073.259999998</v>
      </c>
      <c r="G94" s="112">
        <f t="shared" si="77"/>
        <v>239028548.86999997</v>
      </c>
      <c r="H94" s="53" t="s">
        <v>698</v>
      </c>
      <c r="I94" s="4">
        <v>10</v>
      </c>
      <c r="J94" s="147">
        <v>30420</v>
      </c>
      <c r="K94" s="53">
        <f>243804597.63-K95</f>
        <v>226299294.63</v>
      </c>
      <c r="L94" s="53">
        <v>-35590877.670000002</v>
      </c>
      <c r="M94" s="53">
        <f>46963979.62-M95</f>
        <v>45461252.619999997</v>
      </c>
      <c r="N94" s="112">
        <f t="shared" si="78"/>
        <v>236169669.57999998</v>
      </c>
      <c r="O94" s="179"/>
    </row>
    <row r="95" spans="1:18" x14ac:dyDescent="0.35">
      <c r="A95" s="53" t="s">
        <v>698</v>
      </c>
      <c r="B95" s="4">
        <v>55</v>
      </c>
      <c r="C95" s="147">
        <v>30420</v>
      </c>
      <c r="D95" s="53">
        <f>-D59</f>
        <v>17637459</v>
      </c>
      <c r="E95" s="53">
        <f>-D66</f>
        <v>-1502727</v>
      </c>
      <c r="F95" s="53">
        <f>-D67</f>
        <v>1625623</v>
      </c>
      <c r="G95" s="112">
        <f t="shared" si="77"/>
        <v>17760355</v>
      </c>
      <c r="H95" s="53" t="s">
        <v>698</v>
      </c>
      <c r="I95" s="4">
        <v>55</v>
      </c>
      <c r="J95" s="147">
        <v>30420</v>
      </c>
      <c r="K95" s="53">
        <f>-K59</f>
        <v>17505303</v>
      </c>
      <c r="L95" s="53">
        <v>-1621694</v>
      </c>
      <c r="M95" s="53">
        <f>-K67</f>
        <v>1502727</v>
      </c>
      <c r="N95" s="112">
        <f t="shared" si="78"/>
        <v>17386336</v>
      </c>
      <c r="O95" s="179"/>
    </row>
    <row r="96" spans="1:18" x14ac:dyDescent="0.35">
      <c r="A96" s="53" t="s">
        <v>699</v>
      </c>
      <c r="B96" s="4">
        <v>10</v>
      </c>
      <c r="C96" s="147">
        <v>30421</v>
      </c>
      <c r="D96" s="53">
        <v>255186524.93000001</v>
      </c>
      <c r="E96" s="53">
        <v>-18177886.16</v>
      </c>
      <c r="F96" s="53">
        <v>23163885.789999999</v>
      </c>
      <c r="G96" s="112">
        <f t="shared" si="77"/>
        <v>260172524.56</v>
      </c>
      <c r="H96" s="53" t="s">
        <v>699</v>
      </c>
      <c r="I96" s="4">
        <v>10</v>
      </c>
      <c r="J96" s="147">
        <v>30421</v>
      </c>
      <c r="K96" s="53">
        <v>252947847.55000001</v>
      </c>
      <c r="L96" s="53">
        <v>-21223798.469999999</v>
      </c>
      <c r="M96" s="53">
        <v>18177886.16</v>
      </c>
      <c r="N96" s="112">
        <f t="shared" si="78"/>
        <v>249901935.24000001</v>
      </c>
      <c r="O96" s="179"/>
    </row>
    <row r="97" spans="1:19" x14ac:dyDescent="0.35">
      <c r="A97" s="53" t="s">
        <v>700</v>
      </c>
      <c r="B97" s="4">
        <v>10</v>
      </c>
      <c r="C97" s="147">
        <v>30422</v>
      </c>
      <c r="D97" s="53">
        <v>553270300.88999999</v>
      </c>
      <c r="E97" s="53">
        <v>-44988180.149999999</v>
      </c>
      <c r="F97" s="53">
        <v>47513989.060000002</v>
      </c>
      <c r="G97" s="112">
        <f t="shared" si="77"/>
        <v>555796109.79999995</v>
      </c>
      <c r="H97" s="53" t="s">
        <v>700</v>
      </c>
      <c r="I97" s="4">
        <v>10</v>
      </c>
      <c r="J97" s="147">
        <v>30422</v>
      </c>
      <c r="K97" s="53">
        <v>519383366.33999997</v>
      </c>
      <c r="L97" s="53">
        <v>-48055723.899999999</v>
      </c>
      <c r="M97" s="53">
        <v>44988180.149999999</v>
      </c>
      <c r="N97" s="112">
        <f t="shared" si="78"/>
        <v>516315822.58999997</v>
      </c>
      <c r="O97" s="179"/>
    </row>
    <row r="98" spans="1:19" x14ac:dyDescent="0.35">
      <c r="A98" s="53" t="s">
        <v>701</v>
      </c>
      <c r="B98" s="4">
        <v>10</v>
      </c>
      <c r="C98" s="147">
        <v>30423</v>
      </c>
      <c r="D98" s="53">
        <v>271970.53999999998</v>
      </c>
      <c r="E98" s="53">
        <v>-13180.9</v>
      </c>
      <c r="F98" s="53">
        <v>21334.58</v>
      </c>
      <c r="G98" s="112">
        <f t="shared" si="77"/>
        <v>280124.21999999997</v>
      </c>
      <c r="H98" s="53" t="s">
        <v>701</v>
      </c>
      <c r="I98" s="4">
        <v>10</v>
      </c>
      <c r="J98" s="147">
        <v>30423</v>
      </c>
      <c r="K98" s="53">
        <v>238839.45</v>
      </c>
      <c r="L98" s="53">
        <v>-20821.66</v>
      </c>
      <c r="M98" s="53">
        <v>13180.9</v>
      </c>
      <c r="N98" s="112">
        <f t="shared" si="78"/>
        <v>231198.69</v>
      </c>
      <c r="O98" s="179"/>
    </row>
    <row r="99" spans="1:19" x14ac:dyDescent="0.35">
      <c r="A99" s="53" t="s">
        <v>702</v>
      </c>
      <c r="B99" s="4">
        <v>10</v>
      </c>
      <c r="C99" s="147">
        <v>30434</v>
      </c>
      <c r="D99" s="53">
        <v>14027274.560000001</v>
      </c>
      <c r="E99" s="53">
        <v>-1106842.07</v>
      </c>
      <c r="F99" s="53">
        <v>1595663.9</v>
      </c>
      <c r="G99" s="112">
        <f t="shared" si="77"/>
        <v>14516096.390000001</v>
      </c>
      <c r="H99" s="53" t="s">
        <v>702</v>
      </c>
      <c r="I99" s="4">
        <v>10</v>
      </c>
      <c r="J99" s="147">
        <v>30434</v>
      </c>
      <c r="K99" s="53">
        <v>9620589.0700000003</v>
      </c>
      <c r="L99" s="53">
        <v>-793844.66</v>
      </c>
      <c r="M99" s="53">
        <v>1106842.07</v>
      </c>
      <c r="N99" s="112">
        <f t="shared" si="78"/>
        <v>9933586.4800000004</v>
      </c>
      <c r="O99" s="179"/>
    </row>
    <row r="100" spans="1:19" x14ac:dyDescent="0.35">
      <c r="A100" s="53" t="s">
        <v>645</v>
      </c>
      <c r="B100" s="4">
        <v>10</v>
      </c>
      <c r="C100" s="147">
        <v>3043</v>
      </c>
      <c r="D100" s="53">
        <f>D44-D101</f>
        <v>32056018.689999998</v>
      </c>
      <c r="E100" s="96"/>
      <c r="F100" s="53"/>
      <c r="G100" s="113">
        <f t="shared" ref="G100" si="79">SUM(D100:F100)</f>
        <v>32056018.689999998</v>
      </c>
      <c r="H100" s="53" t="s">
        <v>645</v>
      </c>
      <c r="I100" s="4">
        <v>10</v>
      </c>
      <c r="J100" s="147">
        <v>3043</v>
      </c>
      <c r="K100" s="53">
        <f>K44-K101</f>
        <v>30331940.280000001</v>
      </c>
      <c r="L100" s="96"/>
      <c r="M100" s="53"/>
      <c r="N100" s="113">
        <f t="shared" ref="N100" si="80">SUM(K100:M100)</f>
        <v>30331940.280000001</v>
      </c>
      <c r="O100" s="179"/>
    </row>
    <row r="101" spans="1:19" x14ac:dyDescent="0.35">
      <c r="A101" s="53" t="s">
        <v>645</v>
      </c>
      <c r="B101" s="4">
        <v>56</v>
      </c>
      <c r="C101" s="147">
        <v>3043</v>
      </c>
      <c r="D101" s="53">
        <f>-D77</f>
        <v>29291742</v>
      </c>
      <c r="E101" s="96"/>
      <c r="F101" s="53"/>
      <c r="G101" s="113">
        <f t="shared" si="77"/>
        <v>29291742</v>
      </c>
      <c r="H101" s="53" t="s">
        <v>645</v>
      </c>
      <c r="I101" s="4">
        <v>56</v>
      </c>
      <c r="J101" s="147">
        <v>3043</v>
      </c>
      <c r="K101" s="53">
        <f>-K77</f>
        <v>26801878</v>
      </c>
      <c r="L101" s="96"/>
      <c r="M101" s="53"/>
      <c r="N101" s="113">
        <f t="shared" ref="N101:N103" si="81">SUM(K101:M101)</f>
        <v>26801878</v>
      </c>
      <c r="O101" s="179"/>
    </row>
    <row r="102" spans="1:19" x14ac:dyDescent="0.35">
      <c r="A102" s="53" t="s">
        <v>226</v>
      </c>
      <c r="B102" s="4">
        <v>10</v>
      </c>
      <c r="C102" s="147">
        <v>3050</v>
      </c>
      <c r="D102" s="53">
        <f>D11-D103</f>
        <v>13430608.079999998</v>
      </c>
      <c r="E102" s="96"/>
      <c r="F102" s="53"/>
      <c r="G102" s="113">
        <f t="shared" si="77"/>
        <v>13430608.079999998</v>
      </c>
      <c r="H102" s="53" t="s">
        <v>226</v>
      </c>
      <c r="I102" s="4">
        <v>10</v>
      </c>
      <c r="J102" s="147">
        <v>3050</v>
      </c>
      <c r="K102" s="53">
        <f>K11-K103</f>
        <v>11889746.990000002</v>
      </c>
      <c r="L102" s="96"/>
      <c r="M102" s="53"/>
      <c r="N102" s="113">
        <f t="shared" si="81"/>
        <v>11889746.990000002</v>
      </c>
      <c r="O102" s="179"/>
    </row>
    <row r="103" spans="1:19" x14ac:dyDescent="0.35">
      <c r="A103" s="53" t="s">
        <v>226</v>
      </c>
      <c r="B103" s="4">
        <v>57</v>
      </c>
      <c r="C103" s="147">
        <v>3050</v>
      </c>
      <c r="D103" s="53">
        <f>-D78</f>
        <v>37027988.329999998</v>
      </c>
      <c r="E103" s="96"/>
      <c r="F103" s="53"/>
      <c r="G103" s="113">
        <f t="shared" si="77"/>
        <v>37027988.329999998</v>
      </c>
      <c r="H103" s="53" t="s">
        <v>226</v>
      </c>
      <c r="I103" s="4">
        <v>57</v>
      </c>
      <c r="J103" s="147">
        <v>3050</v>
      </c>
      <c r="K103" s="53">
        <f>-K78</f>
        <v>32940349.07</v>
      </c>
      <c r="L103" s="96"/>
      <c r="M103" s="53"/>
      <c r="N103" s="113">
        <f t="shared" si="81"/>
        <v>32940349.07</v>
      </c>
      <c r="O103" s="179"/>
    </row>
    <row r="104" spans="1:19" x14ac:dyDescent="0.35">
      <c r="A104" s="53" t="s">
        <v>703</v>
      </c>
      <c r="B104" s="53"/>
      <c r="C104" s="53"/>
      <c r="D104" s="53">
        <f>SUM(D83:D103)</f>
        <v>15460948509.189999</v>
      </c>
      <c r="E104" s="53">
        <f>SUM(E83:E103)</f>
        <v>-979300716.54000008</v>
      </c>
      <c r="F104" s="53">
        <f>SUM(F83:F103)</f>
        <v>1011758944.73</v>
      </c>
      <c r="G104" s="114">
        <f>SUM(G83:G103)</f>
        <v>15493406737.379997</v>
      </c>
      <c r="H104" s="53" t="s">
        <v>703</v>
      </c>
      <c r="I104" s="53"/>
      <c r="J104" s="53"/>
      <c r="K104" s="53">
        <f>SUM(K83:K103)</f>
        <v>13875718679.240002</v>
      </c>
      <c r="L104" s="53">
        <f>SUM(L83:L103)</f>
        <v>-879118406.8499999</v>
      </c>
      <c r="M104" s="53">
        <f>SUM(M83:M103)</f>
        <v>979300716.54000008</v>
      </c>
      <c r="N104" s="114">
        <f>SUM(N83:N103)</f>
        <v>13975900988.930002</v>
      </c>
      <c r="O104" s="179"/>
    </row>
    <row r="105" spans="1:19" x14ac:dyDescent="0.35">
      <c r="A105" s="26"/>
      <c r="B105" s="26"/>
      <c r="C105" s="26"/>
      <c r="D105" s="26"/>
      <c r="E105" s="102"/>
      <c r="F105" s="26"/>
      <c r="G105" s="26"/>
      <c r="H105" s="26"/>
      <c r="I105" s="26"/>
      <c r="J105" s="26"/>
      <c r="K105" s="26"/>
      <c r="L105" s="102"/>
      <c r="M105" s="26"/>
      <c r="N105" s="26"/>
      <c r="O105" s="179"/>
    </row>
    <row r="106" spans="1:19" x14ac:dyDescent="0.35">
      <c r="A106" s="52" t="s">
        <v>704</v>
      </c>
      <c r="B106" s="26"/>
      <c r="C106" s="26"/>
      <c r="D106" s="26"/>
      <c r="E106" s="102"/>
      <c r="F106" s="26"/>
      <c r="G106" s="26"/>
      <c r="H106" s="52" t="s">
        <v>704</v>
      </c>
      <c r="I106" s="26"/>
      <c r="J106" s="26"/>
      <c r="K106" s="26"/>
      <c r="L106" s="102"/>
      <c r="M106" s="26"/>
      <c r="N106" s="26"/>
      <c r="O106" s="180"/>
    </row>
    <row r="107" spans="1:19" x14ac:dyDescent="0.35">
      <c r="A107" s="53" t="s">
        <v>705</v>
      </c>
      <c r="B107" s="53" t="s">
        <v>688</v>
      </c>
      <c r="C107" s="53" t="s">
        <v>689</v>
      </c>
      <c r="D107" s="53" t="s">
        <v>690</v>
      </c>
      <c r="E107" s="96" t="s">
        <v>854</v>
      </c>
      <c r="F107" s="53" t="s">
        <v>855</v>
      </c>
      <c r="G107" s="59" t="s">
        <v>693</v>
      </c>
      <c r="H107" s="53" t="s">
        <v>705</v>
      </c>
      <c r="I107" s="53" t="s">
        <v>688</v>
      </c>
      <c r="J107" s="53" t="s">
        <v>689</v>
      </c>
      <c r="K107" s="53" t="s">
        <v>690</v>
      </c>
      <c r="L107" s="96" t="s">
        <v>691</v>
      </c>
      <c r="M107" s="53" t="s">
        <v>692</v>
      </c>
      <c r="N107" s="59" t="s">
        <v>693</v>
      </c>
      <c r="O107" s="179"/>
    </row>
    <row r="108" spans="1:19" ht="14.25" customHeight="1" x14ac:dyDescent="0.35">
      <c r="A108" s="53" t="s">
        <v>697</v>
      </c>
      <c r="B108" s="4">
        <v>51</v>
      </c>
      <c r="C108" s="4">
        <v>601</v>
      </c>
      <c r="D108" s="106">
        <f>D58</f>
        <v>-2022021531</v>
      </c>
      <c r="E108" s="106">
        <f>D64</f>
        <v>179823808</v>
      </c>
      <c r="F108" s="106">
        <f>D65</f>
        <v>-183178204</v>
      </c>
      <c r="G108" s="113">
        <f>SUM(D108:F108)</f>
        <v>-2025375927</v>
      </c>
      <c r="H108" s="53" t="s">
        <v>697</v>
      </c>
      <c r="I108" s="4">
        <v>51</v>
      </c>
      <c r="J108" s="4">
        <v>601</v>
      </c>
      <c r="K108" s="106">
        <f>K58</f>
        <v>-1910226589</v>
      </c>
      <c r="L108" s="106">
        <f>K64</f>
        <v>164888213</v>
      </c>
      <c r="M108" s="106">
        <f>K65</f>
        <v>-179823808</v>
      </c>
      <c r="N108" s="113">
        <f>SUM(K108:M108)</f>
        <v>-1925162184</v>
      </c>
      <c r="O108" s="179"/>
      <c r="R108" s="183"/>
      <c r="S108" s="183"/>
    </row>
    <row r="109" spans="1:19" x14ac:dyDescent="0.35">
      <c r="A109" s="53" t="s">
        <v>216</v>
      </c>
      <c r="B109" s="4">
        <v>52</v>
      </c>
      <c r="C109" s="4">
        <v>601</v>
      </c>
      <c r="D109" s="105">
        <f>D72-D115</f>
        <v>0</v>
      </c>
      <c r="E109" s="96"/>
      <c r="F109" s="53"/>
      <c r="G109" s="113">
        <f>SUM(D109:F109)</f>
        <v>0</v>
      </c>
      <c r="H109" s="53" t="s">
        <v>216</v>
      </c>
      <c r="I109" s="4">
        <v>52</v>
      </c>
      <c r="J109" s="4">
        <v>601</v>
      </c>
      <c r="K109" s="105">
        <f>K72-K115</f>
        <v>0</v>
      </c>
      <c r="L109" s="96"/>
      <c r="M109" s="53"/>
      <c r="N109" s="113">
        <f>SUM(K109:M109)</f>
        <v>0</v>
      </c>
      <c r="O109" s="179"/>
      <c r="R109" s="184"/>
    </row>
    <row r="110" spans="1:19" x14ac:dyDescent="0.35">
      <c r="A110" s="53" t="s">
        <v>218</v>
      </c>
      <c r="B110" s="4">
        <v>51</v>
      </c>
      <c r="C110" s="4">
        <v>601</v>
      </c>
      <c r="D110" s="93">
        <f>D71</f>
        <v>-336388464.17999995</v>
      </c>
      <c r="E110" s="96"/>
      <c r="F110" s="53"/>
      <c r="G110" s="113">
        <f>SUM(D110:F110)</f>
        <v>-336388464.17999995</v>
      </c>
      <c r="H110" s="53" t="s">
        <v>218</v>
      </c>
      <c r="I110" s="4">
        <v>51</v>
      </c>
      <c r="J110" s="4">
        <v>601</v>
      </c>
      <c r="K110" s="93">
        <f>K71</f>
        <v>-321050700.57000005</v>
      </c>
      <c r="L110" s="96"/>
      <c r="M110" s="53"/>
      <c r="N110" s="113">
        <f>SUM(K110:M110)</f>
        <v>-321050700.57000005</v>
      </c>
      <c r="O110" s="179"/>
      <c r="R110" s="185"/>
    </row>
    <row r="111" spans="1:19" x14ac:dyDescent="0.35">
      <c r="A111" s="53" t="s">
        <v>218</v>
      </c>
      <c r="B111" s="4">
        <v>53</v>
      </c>
      <c r="C111" s="4">
        <v>601</v>
      </c>
      <c r="D111" s="93">
        <f>D73</f>
        <v>-249374982.33000001</v>
      </c>
      <c r="E111" s="96"/>
      <c r="F111" s="53"/>
      <c r="G111" s="113">
        <f>SUM(D111:F111)</f>
        <v>-249374982.33000001</v>
      </c>
      <c r="H111" s="53" t="s">
        <v>218</v>
      </c>
      <c r="I111" s="4">
        <v>53</v>
      </c>
      <c r="J111" s="4">
        <v>601</v>
      </c>
      <c r="K111" s="93">
        <f>K73</f>
        <v>-178196136.34</v>
      </c>
      <c r="L111" s="96"/>
      <c r="M111" s="53"/>
      <c r="N111" s="113">
        <f>SUM(K111:M111)</f>
        <v>-178196136.34</v>
      </c>
      <c r="O111" s="179"/>
      <c r="R111" s="185"/>
    </row>
    <row r="112" spans="1:19" x14ac:dyDescent="0.35">
      <c r="A112" s="53" t="s">
        <v>703</v>
      </c>
      <c r="B112" s="53"/>
      <c r="C112" s="53"/>
      <c r="D112" s="53">
        <f>SUM(D108:D111)</f>
        <v>-2607784977.5099998</v>
      </c>
      <c r="E112" s="53">
        <f>SUM(E108:E111)</f>
        <v>179823808</v>
      </c>
      <c r="F112" s="53">
        <f>SUM(F108:F111)</f>
        <v>-183178204</v>
      </c>
      <c r="G112" s="114">
        <f>SUM(G108:G111)</f>
        <v>-2611139373.5099998</v>
      </c>
      <c r="H112" s="53" t="s">
        <v>703</v>
      </c>
      <c r="I112" s="53"/>
      <c r="J112" s="53"/>
      <c r="K112" s="53">
        <f>SUM(K108:K111)</f>
        <v>-2409473425.9100003</v>
      </c>
      <c r="L112" s="53">
        <f>SUM(L108:L111)</f>
        <v>164888213</v>
      </c>
      <c r="M112" s="53">
        <f>SUM(M108:M111)</f>
        <v>-179823808</v>
      </c>
      <c r="N112" s="114">
        <f>SUM(N108:N111)</f>
        <v>-2424409020.9100003</v>
      </c>
      <c r="O112" s="179"/>
    </row>
    <row r="113" spans="1:19" x14ac:dyDescent="0.35">
      <c r="A113" s="26"/>
      <c r="B113" s="26"/>
      <c r="C113" s="26"/>
      <c r="D113" s="26"/>
      <c r="E113" s="102"/>
      <c r="F113" s="26"/>
      <c r="G113" s="26"/>
      <c r="H113" s="26"/>
      <c r="I113" s="26"/>
      <c r="J113" s="26"/>
      <c r="K113" s="26"/>
      <c r="L113" s="102"/>
      <c r="M113" s="26"/>
      <c r="N113" s="26"/>
      <c r="O113" s="179"/>
    </row>
    <row r="114" spans="1:19" x14ac:dyDescent="0.35">
      <c r="A114" s="52" t="s">
        <v>898</v>
      </c>
      <c r="B114" s="26"/>
      <c r="C114" s="26"/>
      <c r="D114" s="26"/>
      <c r="E114" s="102"/>
      <c r="F114" s="26"/>
      <c r="G114" s="26"/>
      <c r="H114" s="26"/>
      <c r="I114" s="26"/>
      <c r="J114" s="26"/>
      <c r="K114" s="26"/>
      <c r="L114" s="102"/>
      <c r="M114" s="26"/>
      <c r="N114" s="26"/>
      <c r="O114" s="179"/>
    </row>
    <row r="115" spans="1:19" x14ac:dyDescent="0.35">
      <c r="A115" s="53" t="s">
        <v>216</v>
      </c>
      <c r="B115" s="4">
        <v>52</v>
      </c>
      <c r="C115" s="4">
        <v>601</v>
      </c>
      <c r="D115" s="105">
        <f>D72</f>
        <v>-327270171</v>
      </c>
      <c r="E115" s="96"/>
      <c r="F115" s="53"/>
      <c r="G115" s="113">
        <f>SUM(D115:F115)</f>
        <v>-327270171</v>
      </c>
      <c r="H115" s="53" t="s">
        <v>216</v>
      </c>
      <c r="I115" s="4">
        <v>52</v>
      </c>
      <c r="J115" s="4">
        <v>601</v>
      </c>
      <c r="K115" s="105">
        <f>K72</f>
        <v>-308724442</v>
      </c>
      <c r="L115" s="96"/>
      <c r="M115" s="53"/>
      <c r="N115" s="113">
        <f>SUM(K115:M115)</f>
        <v>-308724442</v>
      </c>
      <c r="O115" s="179"/>
      <c r="R115" s="184"/>
    </row>
    <row r="116" spans="1:19" x14ac:dyDescent="0.35">
      <c r="A116" s="26"/>
      <c r="B116" s="26"/>
      <c r="C116" s="26"/>
      <c r="D116" s="26"/>
      <c r="E116" s="102"/>
      <c r="F116" s="26"/>
      <c r="G116" s="26"/>
      <c r="H116" s="26"/>
      <c r="I116" s="26"/>
      <c r="J116" s="26"/>
      <c r="K116" s="26"/>
      <c r="L116" s="102"/>
      <c r="M116" s="26"/>
      <c r="N116" s="26"/>
      <c r="O116" s="179"/>
    </row>
    <row r="117" spans="1:19" x14ac:dyDescent="0.35">
      <c r="A117" s="52" t="s">
        <v>706</v>
      </c>
      <c r="B117" s="26"/>
      <c r="C117" s="26"/>
      <c r="D117" s="26"/>
      <c r="E117" s="102"/>
      <c r="F117" s="26"/>
      <c r="G117" s="26"/>
      <c r="H117" s="52" t="s">
        <v>706</v>
      </c>
      <c r="I117" s="26"/>
      <c r="J117" s="26"/>
      <c r="K117" s="26"/>
      <c r="L117" s="102"/>
      <c r="M117" s="26"/>
      <c r="N117" s="26"/>
      <c r="O117" s="180"/>
    </row>
    <row r="118" spans="1:19" x14ac:dyDescent="0.35">
      <c r="A118" s="53" t="s">
        <v>705</v>
      </c>
      <c r="B118" s="53" t="s">
        <v>688</v>
      </c>
      <c r="C118" s="53" t="s">
        <v>689</v>
      </c>
      <c r="D118" s="53" t="s">
        <v>690</v>
      </c>
      <c r="E118" s="96" t="s">
        <v>854</v>
      </c>
      <c r="F118" s="53" t="s">
        <v>855</v>
      </c>
      <c r="G118" s="59" t="s">
        <v>693</v>
      </c>
      <c r="H118" s="53" t="s">
        <v>705</v>
      </c>
      <c r="I118" s="53" t="s">
        <v>688</v>
      </c>
      <c r="J118" s="53" t="s">
        <v>689</v>
      </c>
      <c r="K118" s="53" t="s">
        <v>690</v>
      </c>
      <c r="L118" s="96" t="s">
        <v>691</v>
      </c>
      <c r="M118" s="53" t="s">
        <v>692</v>
      </c>
      <c r="N118" s="59" t="s">
        <v>693</v>
      </c>
      <c r="O118" s="179"/>
    </row>
    <row r="119" spans="1:19" x14ac:dyDescent="0.35">
      <c r="A119" s="53" t="s">
        <v>707</v>
      </c>
      <c r="B119" s="4">
        <v>55</v>
      </c>
      <c r="C119" s="4">
        <v>601</v>
      </c>
      <c r="D119" s="106">
        <f>D59</f>
        <v>-17637459</v>
      </c>
      <c r="E119" s="106">
        <f>D66</f>
        <v>1502727</v>
      </c>
      <c r="F119" s="106">
        <f>D67</f>
        <v>-1625623</v>
      </c>
      <c r="G119" s="113">
        <f>SUM(D119:F119)</f>
        <v>-17760355</v>
      </c>
      <c r="H119" s="53" t="s">
        <v>707</v>
      </c>
      <c r="I119" s="4">
        <v>55</v>
      </c>
      <c r="J119" s="4">
        <v>601</v>
      </c>
      <c r="K119" s="106">
        <f>K59</f>
        <v>-17505303</v>
      </c>
      <c r="L119" s="106">
        <f>K66</f>
        <v>1621694</v>
      </c>
      <c r="M119" s="106">
        <f>K67</f>
        <v>-1502727</v>
      </c>
      <c r="N119" s="113">
        <f>SUM(K119:M119)</f>
        <v>-17386336</v>
      </c>
      <c r="O119" s="179"/>
      <c r="R119" s="183"/>
      <c r="S119" s="183"/>
    </row>
    <row r="120" spans="1:19" x14ac:dyDescent="0.35">
      <c r="A120" s="53" t="s">
        <v>708</v>
      </c>
      <c r="B120" s="4">
        <v>56</v>
      </c>
      <c r="C120" s="4">
        <v>601</v>
      </c>
      <c r="D120" s="53">
        <f>D77</f>
        <v>-29291742</v>
      </c>
      <c r="E120" s="96"/>
      <c r="F120" s="53"/>
      <c r="G120" s="113">
        <f>SUM(D120:F120)</f>
        <v>-29291742</v>
      </c>
      <c r="H120" s="53" t="s">
        <v>708</v>
      </c>
      <c r="I120" s="4">
        <v>56</v>
      </c>
      <c r="J120" s="4">
        <v>601</v>
      </c>
      <c r="K120" s="53">
        <f>K77</f>
        <v>-26801878</v>
      </c>
      <c r="L120" s="96"/>
      <c r="M120" s="53"/>
      <c r="N120" s="113">
        <f>SUM(K120:M120)</f>
        <v>-26801878</v>
      </c>
      <c r="O120" s="179"/>
    </row>
    <row r="121" spans="1:19" x14ac:dyDescent="0.35">
      <c r="A121" s="53" t="s">
        <v>703</v>
      </c>
      <c r="B121" s="4"/>
      <c r="C121" s="4"/>
      <c r="D121" s="53">
        <f>SUM(D119:D120)</f>
        <v>-46929201</v>
      </c>
      <c r="E121" s="53">
        <f t="shared" ref="E121:G121" si="82">SUM(E119:E120)</f>
        <v>1502727</v>
      </c>
      <c r="F121" s="53">
        <f t="shared" si="82"/>
        <v>-1625623</v>
      </c>
      <c r="G121" s="113">
        <f t="shared" si="82"/>
        <v>-47052097</v>
      </c>
      <c r="H121" s="53" t="s">
        <v>703</v>
      </c>
      <c r="I121" s="4"/>
      <c r="J121" s="4"/>
      <c r="K121" s="53">
        <f>SUM(K119:K120)</f>
        <v>-44307181</v>
      </c>
      <c r="L121" s="53">
        <f t="shared" ref="L121:N121" si="83">SUM(L119:L120)</f>
        <v>1621694</v>
      </c>
      <c r="M121" s="53">
        <f t="shared" si="83"/>
        <v>-1502727</v>
      </c>
      <c r="N121" s="113">
        <f t="shared" si="83"/>
        <v>-44188214</v>
      </c>
      <c r="O121" s="179"/>
    </row>
    <row r="122" spans="1:19" x14ac:dyDescent="0.35">
      <c r="A122" s="26"/>
      <c r="B122" s="26"/>
      <c r="C122" s="26"/>
      <c r="D122" s="26"/>
      <c r="E122" s="102"/>
      <c r="F122" s="26"/>
      <c r="G122" s="26"/>
      <c r="H122" s="26"/>
      <c r="I122" s="26"/>
      <c r="J122" s="26"/>
      <c r="K122" s="26"/>
      <c r="L122" s="102"/>
      <c r="M122" s="26"/>
      <c r="N122" s="26"/>
      <c r="O122" s="179"/>
    </row>
    <row r="123" spans="1:19" x14ac:dyDescent="0.35">
      <c r="A123" s="52" t="s">
        <v>709</v>
      </c>
      <c r="B123" s="26"/>
      <c r="C123" s="26"/>
      <c r="D123" s="26"/>
      <c r="E123" s="102"/>
      <c r="F123" s="26"/>
      <c r="G123" s="26"/>
      <c r="H123" s="52" t="s">
        <v>709</v>
      </c>
      <c r="I123" s="26"/>
      <c r="J123" s="26"/>
      <c r="K123" s="26"/>
      <c r="L123" s="102"/>
      <c r="M123" s="26"/>
      <c r="N123" s="26"/>
      <c r="O123" s="180"/>
    </row>
    <row r="124" spans="1:19" x14ac:dyDescent="0.35">
      <c r="A124" s="53" t="s">
        <v>705</v>
      </c>
      <c r="B124" s="53" t="s">
        <v>688</v>
      </c>
      <c r="C124" s="53" t="s">
        <v>689</v>
      </c>
      <c r="D124" s="53" t="s">
        <v>690</v>
      </c>
      <c r="E124" s="96" t="s">
        <v>854</v>
      </c>
      <c r="F124" s="53" t="s">
        <v>855</v>
      </c>
      <c r="G124" s="59" t="s">
        <v>693</v>
      </c>
      <c r="H124" s="53" t="s">
        <v>705</v>
      </c>
      <c r="I124" s="53" t="s">
        <v>688</v>
      </c>
      <c r="J124" s="53" t="s">
        <v>689</v>
      </c>
      <c r="K124" s="53" t="s">
        <v>690</v>
      </c>
      <c r="L124" s="96" t="s">
        <v>691</v>
      </c>
      <c r="M124" s="53" t="s">
        <v>692</v>
      </c>
      <c r="N124" s="59" t="s">
        <v>693</v>
      </c>
      <c r="O124" s="179"/>
    </row>
    <row r="125" spans="1:19" x14ac:dyDescent="0.35">
      <c r="A125" s="53" t="s">
        <v>710</v>
      </c>
      <c r="B125" s="147">
        <v>50</v>
      </c>
      <c r="C125" s="147">
        <v>601</v>
      </c>
      <c r="D125" s="53">
        <f>D70</f>
        <v>-1981891756</v>
      </c>
      <c r="E125" s="96"/>
      <c r="F125" s="53"/>
      <c r="G125" s="113">
        <f>SUM(D125:F125)</f>
        <v>-1981891756</v>
      </c>
      <c r="H125" s="53" t="s">
        <v>710</v>
      </c>
      <c r="I125" s="147">
        <v>50</v>
      </c>
      <c r="J125" s="147">
        <v>601</v>
      </c>
      <c r="K125" s="53">
        <f>K70</f>
        <v>-1868362948</v>
      </c>
      <c r="L125" s="96"/>
      <c r="M125" s="53"/>
      <c r="N125" s="113">
        <f>SUM(K125:M125)</f>
        <v>-1868362948</v>
      </c>
      <c r="O125" s="179"/>
    </row>
    <row r="126" spans="1:19" x14ac:dyDescent="0.35">
      <c r="A126" s="53" t="s">
        <v>711</v>
      </c>
      <c r="B126" s="147">
        <v>54</v>
      </c>
      <c r="C126" s="147">
        <v>601</v>
      </c>
      <c r="D126" s="53">
        <f>D74</f>
        <v>-80611466</v>
      </c>
      <c r="E126" s="96"/>
      <c r="F126" s="53"/>
      <c r="G126" s="113">
        <f>SUM(D126:F126)</f>
        <v>-80611466</v>
      </c>
      <c r="H126" s="53" t="s">
        <v>711</v>
      </c>
      <c r="I126" s="147">
        <v>54</v>
      </c>
      <c r="J126" s="147">
        <v>601</v>
      </c>
      <c r="K126" s="53">
        <f>K74</f>
        <v>-58495302</v>
      </c>
      <c r="L126" s="96"/>
      <c r="M126" s="53"/>
      <c r="N126" s="113">
        <f>SUM(K126:M126)</f>
        <v>-58495302</v>
      </c>
      <c r="O126" s="179"/>
    </row>
    <row r="127" spans="1:19" x14ac:dyDescent="0.35">
      <c r="A127" s="53" t="s">
        <v>712</v>
      </c>
      <c r="B127" s="147">
        <v>57</v>
      </c>
      <c r="C127" s="147">
        <v>601</v>
      </c>
      <c r="D127" s="53">
        <f>D78</f>
        <v>-37027988.329999998</v>
      </c>
      <c r="E127" s="96"/>
      <c r="F127" s="53"/>
      <c r="G127" s="113">
        <f>SUM(D127:F127)</f>
        <v>-37027988.329999998</v>
      </c>
      <c r="H127" s="53" t="s">
        <v>712</v>
      </c>
      <c r="I127" s="147">
        <v>57</v>
      </c>
      <c r="J127" s="147">
        <v>601</v>
      </c>
      <c r="K127" s="53">
        <f>K78</f>
        <v>-32940349.07</v>
      </c>
      <c r="L127" s="96"/>
      <c r="M127" s="53"/>
      <c r="N127" s="113">
        <f>SUM(K127:M127)</f>
        <v>-32940349.07</v>
      </c>
      <c r="O127" s="179"/>
    </row>
    <row r="128" spans="1:19" x14ac:dyDescent="0.35">
      <c r="A128" s="53" t="s">
        <v>703</v>
      </c>
      <c r="B128" s="4"/>
      <c r="C128" s="4"/>
      <c r="D128" s="53">
        <f>SUM(D125:D127)</f>
        <v>-2099531210.3299999</v>
      </c>
      <c r="E128" s="53">
        <f>SUM(E125:E127)</f>
        <v>0</v>
      </c>
      <c r="F128" s="53">
        <f>SUM(F125:F127)</f>
        <v>0</v>
      </c>
      <c r="G128" s="114">
        <f>SUM(G125:G127)</f>
        <v>-2099531210.3299999</v>
      </c>
      <c r="H128" s="53" t="s">
        <v>703</v>
      </c>
      <c r="I128" s="4"/>
      <c r="J128" s="4"/>
      <c r="K128" s="53">
        <f>SUM(K125:K127)</f>
        <v>-1959798599.0699999</v>
      </c>
      <c r="L128" s="53">
        <f>SUM(L125:L127)</f>
        <v>0</v>
      </c>
      <c r="M128" s="53">
        <f>SUM(M125:M127)</f>
        <v>0</v>
      </c>
      <c r="N128" s="114">
        <f>SUM(N125:N127)</f>
        <v>-1959798599.0699999</v>
      </c>
      <c r="O128" s="179"/>
    </row>
    <row r="129" spans="1:19" x14ac:dyDescent="0.35">
      <c r="A129" s="26"/>
      <c r="B129" s="26"/>
      <c r="C129" s="26"/>
      <c r="D129" s="26"/>
      <c r="E129" s="102"/>
      <c r="F129" s="26"/>
      <c r="G129" s="26"/>
      <c r="H129" s="26"/>
      <c r="I129" s="26"/>
      <c r="J129" s="26"/>
      <c r="K129" s="26"/>
      <c r="L129" s="102"/>
      <c r="M129" s="26"/>
      <c r="N129" s="26"/>
      <c r="O129" s="179"/>
    </row>
    <row r="130" spans="1:19" x14ac:dyDescent="0.35">
      <c r="A130" s="26" t="s">
        <v>713</v>
      </c>
      <c r="B130" s="26"/>
      <c r="C130" s="26"/>
      <c r="D130" s="26">
        <f>D108+D109+D110+D111+D119+D120+D125+D126+D127</f>
        <v>-4754245388.8400002</v>
      </c>
      <c r="E130" s="26">
        <f t="shared" ref="E130:F130" si="84">E108+E109+E110+E111+E119+E120+E125+E126+E127</f>
        <v>181326535</v>
      </c>
      <c r="F130" s="26">
        <f t="shared" si="84"/>
        <v>-184803827</v>
      </c>
      <c r="G130" s="26">
        <f>G108+G109+G110+G111+G115+G119+G120+G125+G126+G127</f>
        <v>-5084992851.8400002</v>
      </c>
      <c r="H130" s="26" t="s">
        <v>713</v>
      </c>
      <c r="I130" s="26"/>
      <c r="J130" s="26"/>
      <c r="K130" s="26">
        <f t="shared" ref="K130:M130" si="85">K108+K109+K110+K111+K119+K120+K125+K126+K127</f>
        <v>-4413579205.9799995</v>
      </c>
      <c r="L130" s="26">
        <f t="shared" si="85"/>
        <v>166509907</v>
      </c>
      <c r="M130" s="26">
        <f t="shared" si="85"/>
        <v>-181326535</v>
      </c>
      <c r="N130" s="26">
        <f>N108+N109+N110+N111+N115+N119+N120+N125+N126+N127</f>
        <v>-4737120275.9799995</v>
      </c>
      <c r="O130" s="179"/>
    </row>
    <row r="131" spans="1:19" x14ac:dyDescent="0.35">
      <c r="A131" s="26"/>
      <c r="B131" s="26"/>
      <c r="C131" s="26"/>
      <c r="D131" s="26"/>
      <c r="E131" s="102"/>
      <c r="F131" s="26"/>
      <c r="G131" s="26">
        <f>D79</f>
        <v>-5084992851.8400002</v>
      </c>
      <c r="H131" s="26"/>
      <c r="I131" s="26"/>
      <c r="J131" s="26"/>
      <c r="K131" s="26"/>
      <c r="L131" s="102"/>
      <c r="M131" s="26"/>
      <c r="N131" s="26">
        <f>K79</f>
        <v>-4737120275.9799995</v>
      </c>
      <c r="O131" s="179"/>
    </row>
    <row r="132" spans="1:19" x14ac:dyDescent="0.35">
      <c r="A132" s="26"/>
      <c r="B132" s="26"/>
      <c r="C132" s="26"/>
      <c r="D132" s="26"/>
      <c r="E132" s="102"/>
      <c r="F132" s="26"/>
      <c r="G132" s="26">
        <f>G130-G131</f>
        <v>0</v>
      </c>
      <c r="H132" s="26"/>
      <c r="I132" s="26"/>
      <c r="J132" s="26"/>
      <c r="K132" s="26"/>
      <c r="L132" s="102"/>
      <c r="M132" s="26"/>
      <c r="N132" s="26">
        <f>N130-N131</f>
        <v>0</v>
      </c>
      <c r="O132" s="179"/>
    </row>
    <row r="133" spans="1:19" x14ac:dyDescent="0.35">
      <c r="A133" s="146"/>
      <c r="O133" s="186"/>
    </row>
    <row r="134" spans="1:19" x14ac:dyDescent="0.35">
      <c r="A134" s="51" t="s">
        <v>770</v>
      </c>
      <c r="B134" s="148"/>
      <c r="D134" s="148"/>
      <c r="G134" s="151">
        <v>-14528329.029999999</v>
      </c>
      <c r="N134" s="151">
        <v>-14785358.73</v>
      </c>
      <c r="O134" s="187"/>
    </row>
    <row r="135" spans="1:19" x14ac:dyDescent="0.35">
      <c r="A135" s="51" t="s">
        <v>857</v>
      </c>
      <c r="B135" s="148"/>
      <c r="D135" s="148"/>
      <c r="G135" s="151">
        <v>-259235.92</v>
      </c>
      <c r="N135" s="151">
        <v>-209976.5</v>
      </c>
      <c r="O135" s="187"/>
    </row>
    <row r="137" spans="1:19" x14ac:dyDescent="0.35">
      <c r="A137" s="51" t="s">
        <v>873</v>
      </c>
    </row>
    <row r="138" spans="1:19" x14ac:dyDescent="0.35">
      <c r="A138" s="3" t="s">
        <v>874</v>
      </c>
      <c r="B138" s="95">
        <v>0</v>
      </c>
      <c r="C138" s="95">
        <f>6438179.6-2576.75+1.27</f>
        <v>6435604.1199999992</v>
      </c>
      <c r="D138" s="95">
        <v>6430250.8300000001</v>
      </c>
      <c r="E138" s="96"/>
      <c r="F138" s="53">
        <f t="shared" ref="F138:F139" si="86">C138-D138</f>
        <v>5353.2899999991059</v>
      </c>
      <c r="H138" s="3" t="s">
        <v>646</v>
      </c>
      <c r="I138" s="95">
        <v>0</v>
      </c>
      <c r="J138" s="95">
        <f>6410159.81-1243.88</f>
        <v>6408915.9299999997</v>
      </c>
      <c r="K138" s="95"/>
      <c r="L138" s="96"/>
      <c r="M138" s="53">
        <f t="shared" ref="M138:M139" si="87">J138-K138</f>
        <v>6408915.9299999997</v>
      </c>
      <c r="O138" s="137" t="s">
        <v>646</v>
      </c>
      <c r="P138" s="174">
        <f t="shared" ref="P138:P139" si="88">ROUND(B138/1000,0)</f>
        <v>0</v>
      </c>
      <c r="Q138" s="174">
        <f t="shared" ref="Q138:Q139" si="89">ROUND(C138/1000,0)</f>
        <v>6436</v>
      </c>
      <c r="R138" s="174">
        <f t="shared" ref="R138:R139" si="90">ROUND(D138/1000,0)</f>
        <v>6430</v>
      </c>
      <c r="S138" s="174">
        <f t="shared" ref="S138:S139" si="91">ROUND(F138/1000,0)</f>
        <v>5</v>
      </c>
    </row>
    <row r="139" spans="1:19" x14ac:dyDescent="0.35">
      <c r="A139" s="104" t="s">
        <v>875</v>
      </c>
      <c r="B139" s="105">
        <v>0</v>
      </c>
      <c r="C139" s="106">
        <v>-6440973.8499999996</v>
      </c>
      <c r="D139" s="106">
        <v>-6472775</v>
      </c>
      <c r="E139" s="107"/>
      <c r="F139" s="106">
        <f t="shared" si="86"/>
        <v>31801.150000000373</v>
      </c>
      <c r="G139" s="148"/>
      <c r="H139" s="104" t="s">
        <v>646</v>
      </c>
      <c r="I139" s="105">
        <v>0</v>
      </c>
      <c r="J139" s="106">
        <v>-6416541.6100000003</v>
      </c>
      <c r="K139" s="106"/>
      <c r="L139" s="107"/>
      <c r="M139" s="106">
        <f t="shared" si="87"/>
        <v>-6416541.6100000003</v>
      </c>
      <c r="O139" s="182" t="s">
        <v>646</v>
      </c>
      <c r="P139" s="174">
        <f t="shared" si="88"/>
        <v>0</v>
      </c>
      <c r="Q139" s="174">
        <f t="shared" si="89"/>
        <v>-6441</v>
      </c>
      <c r="R139" s="174">
        <f t="shared" si="90"/>
        <v>-6473</v>
      </c>
      <c r="S139" s="174">
        <f t="shared" si="91"/>
        <v>32</v>
      </c>
    </row>
    <row r="140" spans="1:19" x14ac:dyDescent="0.35">
      <c r="D140" s="191"/>
    </row>
    <row r="141" spans="1:19" ht="15.5" x14ac:dyDescent="0.35">
      <c r="A141" s="205" t="s">
        <v>897</v>
      </c>
      <c r="B141" s="205"/>
      <c r="C141" s="16"/>
      <c r="D141" s="16"/>
      <c r="E141" s="16"/>
      <c r="F141" s="16"/>
      <c r="G141" s="11">
        <v>-311099454.56999999</v>
      </c>
      <c r="H141" s="205" t="s">
        <v>897</v>
      </c>
      <c r="I141" s="205"/>
      <c r="J141" s="16"/>
      <c r="K141" s="16"/>
      <c r="L141" s="16">
        <v>-285231426.75999999</v>
      </c>
      <c r="M141" s="16"/>
      <c r="N141" s="6"/>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06795-1661-4CB9-8908-DE92C160D9CC}">
  <dimension ref="A1:V63"/>
  <sheetViews>
    <sheetView workbookViewId="0">
      <selection activeCell="C1" sqref="C1"/>
    </sheetView>
  </sheetViews>
  <sheetFormatPr defaultRowHeight="14.5" x14ac:dyDescent="0.35"/>
  <cols>
    <col min="1" max="1" width="6.26953125" customWidth="1"/>
    <col min="2" max="2" width="21.81640625" customWidth="1"/>
    <col min="3" max="3" width="15.1796875" customWidth="1"/>
    <col min="4" max="4" width="19" customWidth="1"/>
    <col min="5" max="5" width="16.26953125" customWidth="1"/>
    <col min="8" max="8" width="14.54296875" customWidth="1"/>
    <col min="9" max="9" width="20" bestFit="1" customWidth="1"/>
    <col min="10" max="10" width="13.7265625" customWidth="1"/>
    <col min="13" max="13" width="11.54296875" bestFit="1" customWidth="1"/>
    <col min="14" max="14" width="16.453125" customWidth="1"/>
    <col min="15" max="15" width="14.26953125" customWidth="1"/>
    <col min="16" max="16" width="15.54296875" customWidth="1"/>
    <col min="17" max="17" width="16.453125" customWidth="1"/>
    <col min="19" max="19" width="12.81640625" bestFit="1" customWidth="1"/>
    <col min="20" max="20" width="10.26953125" customWidth="1"/>
  </cols>
  <sheetData>
    <row r="1" spans="1:21" x14ac:dyDescent="0.35">
      <c r="A1" s="51" t="s">
        <v>1030</v>
      </c>
      <c r="C1" s="2"/>
      <c r="D1" s="2"/>
      <c r="G1" s="115"/>
      <c r="H1" s="115"/>
      <c r="I1" s="115"/>
      <c r="J1" s="115"/>
      <c r="L1" s="51" t="s">
        <v>916</v>
      </c>
      <c r="N1" s="2"/>
      <c r="O1" s="2"/>
      <c r="Q1" s="26"/>
      <c r="R1" s="116"/>
      <c r="S1" s="116"/>
      <c r="T1" s="116"/>
      <c r="U1" s="116"/>
    </row>
    <row r="2" spans="1:21" ht="24" x14ac:dyDescent="0.35">
      <c r="C2" s="2"/>
      <c r="D2" s="2"/>
      <c r="E2" s="2"/>
      <c r="G2" s="117" t="s">
        <v>714</v>
      </c>
      <c r="H2" s="118" t="s">
        <v>715</v>
      </c>
      <c r="I2" s="118" t="s">
        <v>716</v>
      </c>
      <c r="J2" s="119" t="s">
        <v>717</v>
      </c>
      <c r="N2" s="2"/>
      <c r="O2" s="2"/>
      <c r="P2" s="2"/>
      <c r="Q2" s="94"/>
      <c r="R2" s="120" t="s">
        <v>714</v>
      </c>
      <c r="S2" s="121" t="s">
        <v>715</v>
      </c>
      <c r="T2" s="121" t="s">
        <v>716</v>
      </c>
      <c r="U2" s="122" t="s">
        <v>717</v>
      </c>
    </row>
    <row r="3" spans="1:21" x14ac:dyDescent="0.35">
      <c r="A3" s="58" t="s">
        <v>718</v>
      </c>
      <c r="B3" s="58"/>
      <c r="C3" s="123" t="s">
        <v>715</v>
      </c>
      <c r="D3" s="123" t="s">
        <v>716</v>
      </c>
      <c r="E3" s="58" t="s">
        <v>717</v>
      </c>
      <c r="G3" s="62" t="s">
        <v>718</v>
      </c>
      <c r="H3" s="124"/>
      <c r="I3" s="124"/>
      <c r="J3" s="125"/>
      <c r="L3" s="58" t="s">
        <v>718</v>
      </c>
      <c r="M3" s="58"/>
      <c r="N3" s="123" t="s">
        <v>715</v>
      </c>
      <c r="O3" s="123" t="s">
        <v>716</v>
      </c>
      <c r="P3" s="58" t="s">
        <v>717</v>
      </c>
      <c r="Q3" s="53"/>
      <c r="R3" s="62" t="s">
        <v>718</v>
      </c>
      <c r="S3" s="126"/>
      <c r="T3" s="126"/>
      <c r="U3" s="127"/>
    </row>
    <row r="4" spans="1:21" x14ac:dyDescent="0.35">
      <c r="A4" s="97" t="s">
        <v>4</v>
      </c>
      <c r="B4" s="97"/>
      <c r="C4" s="128" t="e">
        <f>'RETA aruanne'!#REF!</f>
        <v>#REF!</v>
      </c>
      <c r="D4" s="4"/>
      <c r="E4" s="4" t="e">
        <f>D4-C4</f>
        <v>#REF!</v>
      </c>
      <c r="G4" s="129" t="s">
        <v>4</v>
      </c>
      <c r="H4" s="130" t="e">
        <f t="shared" ref="H4:J21" si="0">ROUND(C4/1000,0)</f>
        <v>#REF!</v>
      </c>
      <c r="I4" s="130">
        <f t="shared" si="0"/>
        <v>0</v>
      </c>
      <c r="J4" s="130" t="e">
        <f t="shared" si="0"/>
        <v>#REF!</v>
      </c>
      <c r="L4" s="97" t="s">
        <v>4</v>
      </c>
      <c r="M4" s="97"/>
      <c r="N4" s="128" t="e">
        <f>'RETA aruanne'!#REF!</f>
        <v>#REF!</v>
      </c>
      <c r="O4" s="4">
        <v>13967670998.33</v>
      </c>
      <c r="P4" s="4" t="e">
        <f>O4-N4</f>
        <v>#REF!</v>
      </c>
      <c r="Q4" s="53"/>
      <c r="R4" s="129" t="s">
        <v>4</v>
      </c>
      <c r="S4" s="38" t="e">
        <f t="shared" ref="S4:U21" si="1">ROUND(N4/1000,0)</f>
        <v>#REF!</v>
      </c>
      <c r="T4" s="38">
        <f t="shared" si="1"/>
        <v>13967671</v>
      </c>
      <c r="U4" s="38" t="e">
        <f t="shared" si="1"/>
        <v>#REF!</v>
      </c>
    </row>
    <row r="5" spans="1:21" x14ac:dyDescent="0.35">
      <c r="A5" s="97" t="s">
        <v>719</v>
      </c>
      <c r="B5" s="97"/>
      <c r="C5" s="128" t="e">
        <f>'RETA aruanne'!#REF!+'RETA aruanne'!#REF!</f>
        <v>#REF!</v>
      </c>
      <c r="D5" s="4"/>
      <c r="E5" s="4" t="e">
        <f t="shared" ref="E5" si="2">D5-C5</f>
        <v>#REF!</v>
      </c>
      <c r="G5" s="129" t="s">
        <v>719</v>
      </c>
      <c r="H5" s="130" t="e">
        <f t="shared" si="0"/>
        <v>#REF!</v>
      </c>
      <c r="I5" s="130">
        <f>ROUND(D5/1000,0)</f>
        <v>0</v>
      </c>
      <c r="J5" s="130" t="e">
        <f>ROUND(E5/1000,0)</f>
        <v>#REF!</v>
      </c>
      <c r="L5" s="97" t="s">
        <v>719</v>
      </c>
      <c r="M5" s="97"/>
      <c r="N5" s="128" t="e">
        <f>'RETA aruanne'!#REF!+'RETA aruanne'!#REF!</f>
        <v>#REF!</v>
      </c>
      <c r="O5" s="4">
        <v>431914247.06999999</v>
      </c>
      <c r="P5" s="4" t="e">
        <f t="shared" ref="P5" si="3">O5-N5</f>
        <v>#REF!</v>
      </c>
      <c r="Q5" s="53"/>
      <c r="R5" s="129" t="s">
        <v>719</v>
      </c>
      <c r="S5" s="38" t="e">
        <f t="shared" si="1"/>
        <v>#REF!</v>
      </c>
      <c r="T5" s="38">
        <f>ROUND(O5/1000,0)</f>
        <v>431914</v>
      </c>
      <c r="U5" s="38" t="e">
        <f>ROUND(P5/1000,0)</f>
        <v>#REF!</v>
      </c>
    </row>
    <row r="6" spans="1:21" x14ac:dyDescent="0.35">
      <c r="A6" s="92"/>
      <c r="B6" s="92" t="s">
        <v>6</v>
      </c>
      <c r="C6" s="128" t="e">
        <f>'RETA aruanne'!#REF!</f>
        <v>#REF!</v>
      </c>
      <c r="D6" s="4"/>
      <c r="E6" s="4"/>
      <c r="G6" s="131" t="s">
        <v>6</v>
      </c>
      <c r="H6" s="130" t="e">
        <f t="shared" si="0"/>
        <v>#REF!</v>
      </c>
      <c r="I6" s="130"/>
      <c r="J6" s="130"/>
      <c r="L6" s="92"/>
      <c r="M6" s="92" t="s">
        <v>6</v>
      </c>
      <c r="N6" s="128" t="e">
        <f>'RETA aruanne'!#REF!</f>
        <v>#REF!</v>
      </c>
      <c r="O6" s="4"/>
      <c r="P6" s="4"/>
      <c r="Q6" s="53"/>
      <c r="R6" s="131" t="s">
        <v>6</v>
      </c>
      <c r="S6" s="38" t="e">
        <f t="shared" si="1"/>
        <v>#REF!</v>
      </c>
      <c r="T6" s="38"/>
      <c r="U6" s="38"/>
    </row>
    <row r="7" spans="1:21" x14ac:dyDescent="0.35">
      <c r="A7" s="92"/>
      <c r="B7" s="92" t="s">
        <v>7</v>
      </c>
      <c r="C7" s="128" t="e">
        <f>'RETA aruanne'!#REF!</f>
        <v>#REF!</v>
      </c>
      <c r="D7" s="4"/>
      <c r="E7" s="4"/>
      <c r="G7" s="131" t="s">
        <v>7</v>
      </c>
      <c r="H7" s="130" t="e">
        <f t="shared" si="0"/>
        <v>#REF!</v>
      </c>
      <c r="I7" s="130"/>
      <c r="J7" s="130"/>
      <c r="L7" s="92"/>
      <c r="M7" s="92" t="s">
        <v>7</v>
      </c>
      <c r="N7" s="128" t="e">
        <f>'RETA aruanne'!#REF!</f>
        <v>#REF!</v>
      </c>
      <c r="O7" s="4"/>
      <c r="P7" s="4"/>
      <c r="Q7" s="53"/>
      <c r="R7" s="131" t="s">
        <v>7</v>
      </c>
      <c r="S7" s="38" t="e">
        <f t="shared" si="1"/>
        <v>#REF!</v>
      </c>
      <c r="T7" s="38"/>
      <c r="U7" s="38"/>
    </row>
    <row r="8" spans="1:21" x14ac:dyDescent="0.35">
      <c r="A8" s="97" t="s">
        <v>5</v>
      </c>
      <c r="B8" s="97"/>
      <c r="C8" s="128" t="e">
        <f>'RETA aruanne'!#REF!</f>
        <v>#REF!</v>
      </c>
      <c r="D8" s="4"/>
      <c r="E8" s="4" t="e">
        <f t="shared" ref="E8:E9" si="4">D8-C8</f>
        <v>#REF!</v>
      </c>
      <c r="G8" s="129" t="s">
        <v>5</v>
      </c>
      <c r="H8" s="130" t="e">
        <f t="shared" si="0"/>
        <v>#REF!</v>
      </c>
      <c r="I8" s="130">
        <f>ROUND(D8/1000,0)</f>
        <v>0</v>
      </c>
      <c r="J8" s="130" t="e">
        <f>ROUND(E8/1000,0)</f>
        <v>#REF!</v>
      </c>
      <c r="L8" s="97" t="s">
        <v>5</v>
      </c>
      <c r="M8" s="97"/>
      <c r="N8" s="128" t="e">
        <f>'RETA aruanne'!#REF!</f>
        <v>#REF!</v>
      </c>
      <c r="O8" s="4">
        <v>1200754082.71</v>
      </c>
      <c r="P8" s="4" t="e">
        <f t="shared" ref="P8:P9" si="5">O8-N8</f>
        <v>#REF!</v>
      </c>
      <c r="R8" s="129" t="s">
        <v>5</v>
      </c>
      <c r="S8" s="38" t="e">
        <f t="shared" si="1"/>
        <v>#REF!</v>
      </c>
      <c r="T8" s="38">
        <f>ROUND(O8/1000,0)</f>
        <v>1200754</v>
      </c>
      <c r="U8" s="38" t="e">
        <f>ROUND(P8/1000,0)</f>
        <v>#REF!</v>
      </c>
    </row>
    <row r="9" spans="1:21" x14ac:dyDescent="0.35">
      <c r="A9" s="97" t="s">
        <v>720</v>
      </c>
      <c r="B9" s="97"/>
      <c r="C9" s="128" t="e">
        <f>SUM(C10:C13)</f>
        <v>#REF!</v>
      </c>
      <c r="D9" s="4"/>
      <c r="E9" s="4" t="e">
        <f t="shared" si="4"/>
        <v>#REF!</v>
      </c>
      <c r="G9" s="129" t="s">
        <v>720</v>
      </c>
      <c r="H9" s="130" t="e">
        <f t="shared" si="0"/>
        <v>#REF!</v>
      </c>
      <c r="I9" s="130">
        <f>ROUND(D9/1000,0)</f>
        <v>0</v>
      </c>
      <c r="J9" s="130" t="e">
        <f>ROUND(E9/1000,0)</f>
        <v>#REF!</v>
      </c>
      <c r="L9" s="97" t="s">
        <v>720</v>
      </c>
      <c r="M9" s="97"/>
      <c r="N9" s="128" t="e">
        <f>SUM(N10:N13)</f>
        <v>#REF!</v>
      </c>
      <c r="O9" s="4">
        <f>190697541.32+22881500.24</f>
        <v>213579041.56</v>
      </c>
      <c r="P9" s="4" t="e">
        <f t="shared" si="5"/>
        <v>#REF!</v>
      </c>
      <c r="Q9" s="53"/>
      <c r="R9" s="129" t="s">
        <v>720</v>
      </c>
      <c r="S9" s="38" t="e">
        <f t="shared" si="1"/>
        <v>#REF!</v>
      </c>
      <c r="T9" s="38">
        <f>ROUND(O9/1000,0)</f>
        <v>213579</v>
      </c>
      <c r="U9" s="38" t="e">
        <f t="shared" ref="U9" si="6">ROUND(P9/1000,0)</f>
        <v>#REF!</v>
      </c>
    </row>
    <row r="10" spans="1:21" x14ac:dyDescent="0.35">
      <c r="A10" s="92"/>
      <c r="B10" s="92" t="s">
        <v>8</v>
      </c>
      <c r="C10" s="128" t="e">
        <f>'RETA aruanne'!#REF!</f>
        <v>#REF!</v>
      </c>
      <c r="D10" s="4"/>
      <c r="E10" s="4"/>
      <c r="G10" s="131" t="s">
        <v>8</v>
      </c>
      <c r="H10" s="130" t="e">
        <f t="shared" si="0"/>
        <v>#REF!</v>
      </c>
      <c r="I10" s="130"/>
      <c r="J10" s="130"/>
      <c r="L10" s="92"/>
      <c r="M10" s="92" t="s">
        <v>8</v>
      </c>
      <c r="N10" s="128" t="e">
        <f>'RETA aruanne'!#REF!</f>
        <v>#REF!</v>
      </c>
      <c r="O10" s="4"/>
      <c r="P10" s="4"/>
      <c r="Q10" s="53"/>
      <c r="R10" s="131" t="s">
        <v>8</v>
      </c>
      <c r="S10" s="38" t="e">
        <f t="shared" si="1"/>
        <v>#REF!</v>
      </c>
      <c r="T10" s="38"/>
      <c r="U10" s="38"/>
    </row>
    <row r="11" spans="1:21" x14ac:dyDescent="0.35">
      <c r="A11" s="92"/>
      <c r="B11" s="92" t="s">
        <v>9</v>
      </c>
      <c r="C11" s="128" t="e">
        <f>'RETA aruanne'!#REF!</f>
        <v>#REF!</v>
      </c>
      <c r="D11" s="4"/>
      <c r="E11" s="4"/>
      <c r="G11" s="131" t="s">
        <v>9</v>
      </c>
      <c r="H11" s="130" t="e">
        <f t="shared" si="0"/>
        <v>#REF!</v>
      </c>
      <c r="I11" s="130"/>
      <c r="J11" s="130"/>
      <c r="L11" s="92"/>
      <c r="M11" s="92" t="s">
        <v>9</v>
      </c>
      <c r="N11" s="128" t="e">
        <f>'RETA aruanne'!#REF!</f>
        <v>#REF!</v>
      </c>
      <c r="O11" s="4"/>
      <c r="P11" s="4"/>
      <c r="Q11" s="53"/>
      <c r="R11" s="131" t="s">
        <v>9</v>
      </c>
      <c r="S11" s="38" t="e">
        <f t="shared" si="1"/>
        <v>#REF!</v>
      </c>
      <c r="T11" s="38"/>
      <c r="U11" s="38"/>
    </row>
    <row r="12" spans="1:21" x14ac:dyDescent="0.35">
      <c r="A12" s="92"/>
      <c r="B12" s="92" t="s">
        <v>10</v>
      </c>
      <c r="C12" s="128" t="e">
        <f>'RETA aruanne'!#REF!</f>
        <v>#REF!</v>
      </c>
      <c r="D12" s="4"/>
      <c r="E12" s="4"/>
      <c r="G12" s="131" t="s">
        <v>10</v>
      </c>
      <c r="H12" s="130" t="e">
        <f t="shared" si="0"/>
        <v>#REF!</v>
      </c>
      <c r="I12" s="130"/>
      <c r="J12" s="130"/>
      <c r="L12" s="92"/>
      <c r="M12" s="92" t="s">
        <v>10</v>
      </c>
      <c r="N12" s="128" t="e">
        <f>'RETA aruanne'!#REF!</f>
        <v>#REF!</v>
      </c>
      <c r="O12" s="4"/>
      <c r="P12" s="4"/>
      <c r="Q12" s="53"/>
      <c r="R12" s="131" t="s">
        <v>10</v>
      </c>
      <c r="S12" s="38" t="e">
        <f t="shared" si="1"/>
        <v>#REF!</v>
      </c>
      <c r="T12" s="38"/>
      <c r="U12" s="38"/>
    </row>
    <row r="13" spans="1:21" x14ac:dyDescent="0.35">
      <c r="A13" s="92"/>
      <c r="B13" s="92" t="s">
        <v>11</v>
      </c>
      <c r="C13" s="128" t="e">
        <f>'RETA aruanne'!#REF!</f>
        <v>#REF!</v>
      </c>
      <c r="D13" s="4"/>
      <c r="E13" s="4"/>
      <c r="G13" s="131" t="s">
        <v>11</v>
      </c>
      <c r="H13" s="130" t="e">
        <f t="shared" si="0"/>
        <v>#REF!</v>
      </c>
      <c r="I13" s="130"/>
      <c r="J13" s="130"/>
      <c r="L13" s="92"/>
      <c r="M13" s="92" t="s">
        <v>11</v>
      </c>
      <c r="N13" s="128" t="e">
        <f>'RETA aruanne'!#REF!</f>
        <v>#REF!</v>
      </c>
      <c r="O13" s="4"/>
      <c r="P13" s="4"/>
      <c r="Q13" s="53"/>
      <c r="R13" s="131" t="s">
        <v>11</v>
      </c>
      <c r="S13" s="38" t="e">
        <f t="shared" si="1"/>
        <v>#REF!</v>
      </c>
      <c r="T13" s="38"/>
      <c r="U13" s="38"/>
    </row>
    <row r="14" spans="1:21" x14ac:dyDescent="0.35">
      <c r="A14" s="97" t="s">
        <v>721</v>
      </c>
      <c r="B14" s="92"/>
      <c r="C14" s="128" t="e">
        <f>'RETA aruanne'!#REF!</f>
        <v>#REF!</v>
      </c>
      <c r="D14" s="4"/>
      <c r="E14" s="4" t="e">
        <f t="shared" ref="E14:E20" si="7">D14-C14</f>
        <v>#REF!</v>
      </c>
      <c r="G14" s="129" t="s">
        <v>721</v>
      </c>
      <c r="H14" s="130" t="e">
        <f t="shared" si="0"/>
        <v>#REF!</v>
      </c>
      <c r="I14" s="130"/>
      <c r="J14" s="130" t="e">
        <f>ROUND(E14/1000,0)</f>
        <v>#REF!</v>
      </c>
      <c r="L14" s="97" t="s">
        <v>721</v>
      </c>
      <c r="M14" s="92"/>
      <c r="N14" s="128" t="e">
        <f>'RETA aruanne'!#REF!</f>
        <v>#REF!</v>
      </c>
      <c r="O14" s="4"/>
      <c r="P14" s="4" t="e">
        <f t="shared" ref="P14:P15" si="8">O14-N14</f>
        <v>#REF!</v>
      </c>
      <c r="Q14" s="98"/>
      <c r="R14" s="129" t="s">
        <v>721</v>
      </c>
      <c r="S14" s="38" t="e">
        <f t="shared" si="1"/>
        <v>#REF!</v>
      </c>
      <c r="T14" s="38"/>
      <c r="U14" s="38" t="e">
        <f>ROUND(P14/1000,0)</f>
        <v>#REF!</v>
      </c>
    </row>
    <row r="15" spans="1:21" x14ac:dyDescent="0.35">
      <c r="A15" s="97" t="s">
        <v>722</v>
      </c>
      <c r="B15" s="97"/>
      <c r="C15" s="132" t="e">
        <f>'RETA aruanne'!#REF!</f>
        <v>#REF!</v>
      </c>
      <c r="D15" s="132"/>
      <c r="E15" s="4" t="e">
        <f t="shared" si="7"/>
        <v>#REF!</v>
      </c>
      <c r="G15" s="129" t="s">
        <v>722</v>
      </c>
      <c r="H15" s="130" t="e">
        <f t="shared" si="0"/>
        <v>#REF!</v>
      </c>
      <c r="I15" s="130"/>
      <c r="J15" s="130" t="e">
        <f>ROUND(E15/1000,0)</f>
        <v>#REF!</v>
      </c>
      <c r="L15" s="97" t="s">
        <v>722</v>
      </c>
      <c r="M15" s="97"/>
      <c r="N15" s="132" t="e">
        <f>'RETA aruanne'!#REF!</f>
        <v>#REF!</v>
      </c>
      <c r="O15" s="132"/>
      <c r="P15" s="4" t="e">
        <f t="shared" si="8"/>
        <v>#REF!</v>
      </c>
      <c r="Q15" s="59"/>
      <c r="R15" s="129" t="s">
        <v>723</v>
      </c>
      <c r="S15" s="38" t="e">
        <f t="shared" si="1"/>
        <v>#REF!</v>
      </c>
      <c r="T15" s="38"/>
      <c r="U15" s="38" t="e">
        <f>ROUND(P15/1000,0)</f>
        <v>#REF!</v>
      </c>
    </row>
    <row r="16" spans="1:21" x14ac:dyDescent="0.35">
      <c r="A16" s="97" t="s">
        <v>724</v>
      </c>
      <c r="B16" s="97"/>
      <c r="C16" s="128"/>
      <c r="D16" s="128"/>
      <c r="E16" s="4"/>
      <c r="G16" s="129" t="s">
        <v>724</v>
      </c>
      <c r="H16" s="130"/>
      <c r="I16" s="130"/>
      <c r="J16" s="130"/>
      <c r="L16" s="97" t="s">
        <v>724</v>
      </c>
      <c r="M16" s="97"/>
      <c r="N16" s="128"/>
      <c r="O16" s="128"/>
      <c r="P16" s="4"/>
      <c r="Q16" s="53"/>
      <c r="R16" s="129" t="s">
        <v>724</v>
      </c>
      <c r="S16" s="38"/>
      <c r="T16" s="38"/>
      <c r="U16" s="38"/>
    </row>
    <row r="17" spans="1:21" x14ac:dyDescent="0.35">
      <c r="A17" s="97"/>
      <c r="B17" s="92" t="s">
        <v>725</v>
      </c>
      <c r="C17" s="128"/>
      <c r="D17" s="128"/>
      <c r="E17" s="4">
        <f t="shared" si="7"/>
        <v>0</v>
      </c>
      <c r="G17" s="131" t="s">
        <v>725</v>
      </c>
      <c r="H17" s="130"/>
      <c r="I17" s="130">
        <f t="shared" ref="I17:J21" si="9">ROUND(D17/1000,0)</f>
        <v>0</v>
      </c>
      <c r="J17" s="130">
        <f t="shared" si="9"/>
        <v>0</v>
      </c>
      <c r="L17" s="97"/>
      <c r="M17" s="92" t="s">
        <v>725</v>
      </c>
      <c r="N17" s="128"/>
      <c r="O17" s="128">
        <v>-22881500.239999998</v>
      </c>
      <c r="P17" s="4">
        <f t="shared" ref="P17:P20" si="10">O17-N17</f>
        <v>-22881500.239999998</v>
      </c>
      <c r="Q17" s="53"/>
      <c r="R17" s="129" t="s">
        <v>725</v>
      </c>
      <c r="S17" s="38"/>
      <c r="T17" s="38">
        <f>ROUND(O17/1000,0)</f>
        <v>-22882</v>
      </c>
      <c r="U17" s="38">
        <f>ROUND(P17/1000,0)</f>
        <v>-22882</v>
      </c>
    </row>
    <row r="18" spans="1:21" x14ac:dyDescent="0.35">
      <c r="A18" s="92"/>
      <c r="B18" s="92" t="s">
        <v>726</v>
      </c>
      <c r="C18" s="132"/>
      <c r="D18" s="4"/>
      <c r="E18" s="4">
        <f t="shared" si="7"/>
        <v>0</v>
      </c>
      <c r="G18" s="131" t="s">
        <v>726</v>
      </c>
      <c r="H18" s="130"/>
      <c r="I18" s="130">
        <f t="shared" si="9"/>
        <v>0</v>
      </c>
      <c r="J18" s="130">
        <f t="shared" si="9"/>
        <v>0</v>
      </c>
      <c r="L18" s="92"/>
      <c r="M18" s="92" t="s">
        <v>726</v>
      </c>
      <c r="N18" s="132"/>
      <c r="O18" s="4">
        <v>242408967.84999999</v>
      </c>
      <c r="P18" s="4">
        <f t="shared" si="10"/>
        <v>242408967.84999999</v>
      </c>
      <c r="Q18" s="53"/>
      <c r="R18" s="131" t="s">
        <v>727</v>
      </c>
      <c r="S18" s="38"/>
      <c r="T18" s="38">
        <f t="shared" ref="T18:U20" si="11">ROUND(O18/1000,0)</f>
        <v>242409</v>
      </c>
      <c r="U18" s="38">
        <f t="shared" si="11"/>
        <v>242409</v>
      </c>
    </row>
    <row r="19" spans="1:21" x14ac:dyDescent="0.35">
      <c r="A19" s="97"/>
      <c r="B19" s="92" t="s">
        <v>728</v>
      </c>
      <c r="C19" s="128"/>
      <c r="D19" s="4"/>
      <c r="E19" s="4">
        <f t="shared" si="7"/>
        <v>0</v>
      </c>
      <c r="G19" s="131" t="s">
        <v>728</v>
      </c>
      <c r="H19" s="130"/>
      <c r="I19" s="130">
        <f t="shared" si="9"/>
        <v>0</v>
      </c>
      <c r="J19" s="130">
        <f t="shared" si="9"/>
        <v>0</v>
      </c>
      <c r="L19" s="97"/>
      <c r="M19" s="92" t="s">
        <v>728</v>
      </c>
      <c r="N19" s="128"/>
      <c r="O19" s="4">
        <v>157918065.97999999</v>
      </c>
      <c r="P19" s="4">
        <f t="shared" si="10"/>
        <v>157918065.97999999</v>
      </c>
      <c r="Q19" s="53"/>
      <c r="R19" s="131" t="s">
        <v>728</v>
      </c>
      <c r="S19" s="38"/>
      <c r="T19" s="38">
        <f t="shared" si="11"/>
        <v>157918</v>
      </c>
      <c r="U19" s="38">
        <f t="shared" si="11"/>
        <v>157918</v>
      </c>
    </row>
    <row r="20" spans="1:21" x14ac:dyDescent="0.35">
      <c r="A20" s="92"/>
      <c r="B20" s="92" t="s">
        <v>729</v>
      </c>
      <c r="C20" s="132"/>
      <c r="D20" s="4"/>
      <c r="E20" s="4">
        <f t="shared" si="7"/>
        <v>0</v>
      </c>
      <c r="G20" s="131" t="s">
        <v>729</v>
      </c>
      <c r="H20" s="130"/>
      <c r="I20" s="130">
        <f t="shared" si="9"/>
        <v>0</v>
      </c>
      <c r="J20" s="130">
        <f t="shared" si="9"/>
        <v>0</v>
      </c>
      <c r="L20" s="92"/>
      <c r="M20" s="92" t="s">
        <v>729</v>
      </c>
      <c r="N20" s="132"/>
      <c r="O20" s="4">
        <v>3901070.61</v>
      </c>
      <c r="P20" s="4">
        <f t="shared" si="10"/>
        <v>3901070.61</v>
      </c>
      <c r="Q20" s="53"/>
      <c r="R20" s="131" t="s">
        <v>729</v>
      </c>
      <c r="S20" s="38"/>
      <c r="T20" s="38">
        <f t="shared" si="11"/>
        <v>3901</v>
      </c>
      <c r="U20" s="38">
        <f t="shared" si="11"/>
        <v>3901</v>
      </c>
    </row>
    <row r="21" spans="1:21" x14ac:dyDescent="0.35">
      <c r="A21" s="97" t="s">
        <v>730</v>
      </c>
      <c r="B21" s="97"/>
      <c r="C21" s="123" t="e">
        <f>C4+C5+C8+C9+C14+C15+C18+C19+C20</f>
        <v>#REF!</v>
      </c>
      <c r="D21" s="123">
        <f>D4+D5+D8+D9+D14+D15+D17+D18+D19+D20</f>
        <v>0</v>
      </c>
      <c r="E21" s="123" t="e">
        <f>E4+E5+E8+E9+E14+E15+E17+E18+E19+E20</f>
        <v>#REF!</v>
      </c>
      <c r="G21" s="129" t="s">
        <v>730</v>
      </c>
      <c r="H21" s="133" t="e">
        <f t="shared" si="0"/>
        <v>#REF!</v>
      </c>
      <c r="I21" s="133">
        <f t="shared" si="9"/>
        <v>0</v>
      </c>
      <c r="J21" s="133" t="e">
        <f t="shared" si="9"/>
        <v>#REF!</v>
      </c>
      <c r="L21" s="97" t="s">
        <v>730</v>
      </c>
      <c r="M21" s="97"/>
      <c r="N21" s="123" t="e">
        <f>N4+N5+N8+N9+N14+N15+N18+N19+N20</f>
        <v>#REF!</v>
      </c>
      <c r="O21" s="123">
        <f>O4+O5+O8+O9+O14+O15+O17+O18+O19+O20</f>
        <v>16195264973.870001</v>
      </c>
      <c r="P21" s="123" t="e">
        <f>P4+P5+P8+P9+P14+P15+P17+P18+P19+P20</f>
        <v>#REF!</v>
      </c>
      <c r="Q21" s="53"/>
      <c r="R21" s="129" t="s">
        <v>730</v>
      </c>
      <c r="S21" s="44" t="e">
        <f t="shared" si="1"/>
        <v>#REF!</v>
      </c>
      <c r="T21" s="44">
        <f>ROUND(O21/1000,0)</f>
        <v>16195265</v>
      </c>
      <c r="U21" s="44" t="e">
        <f>ROUND(P21/1000,0)</f>
        <v>#REF!</v>
      </c>
    </row>
    <row r="22" spans="1:21" x14ac:dyDescent="0.35">
      <c r="A22" s="58" t="s">
        <v>731</v>
      </c>
      <c r="B22" s="58"/>
      <c r="C22" s="123"/>
      <c r="D22" s="123"/>
      <c r="E22" s="58"/>
      <c r="G22" s="62" t="s">
        <v>731</v>
      </c>
      <c r="H22" s="130"/>
      <c r="I22" s="130"/>
      <c r="J22" s="130"/>
      <c r="L22" s="58" t="s">
        <v>731</v>
      </c>
      <c r="M22" s="58"/>
      <c r="N22" s="123"/>
      <c r="O22" s="123"/>
      <c r="P22" s="58"/>
      <c r="Q22" s="59"/>
      <c r="R22" s="62" t="s">
        <v>731</v>
      </c>
      <c r="S22" s="38"/>
      <c r="T22" s="38"/>
      <c r="U22" s="38"/>
    </row>
    <row r="23" spans="1:21" x14ac:dyDescent="0.35">
      <c r="A23" s="97" t="s">
        <v>732</v>
      </c>
      <c r="B23" s="97"/>
      <c r="C23" s="128" t="e">
        <f>'RETA aruanne'!#REF!</f>
        <v>#REF!</v>
      </c>
      <c r="D23" s="4"/>
      <c r="E23" s="4"/>
      <c r="G23" s="129" t="s">
        <v>732</v>
      </c>
      <c r="H23" s="130" t="e">
        <f>ROUND(C23/1000,0)</f>
        <v>#REF!</v>
      </c>
      <c r="I23" s="130"/>
      <c r="J23" s="130"/>
      <c r="L23" s="97" t="s">
        <v>732</v>
      </c>
      <c r="M23" s="97"/>
      <c r="N23" s="128" t="e">
        <f>'RETA aruanne'!#REF!</f>
        <v>#REF!</v>
      </c>
      <c r="O23" s="4"/>
      <c r="P23" s="4"/>
      <c r="Q23" s="59"/>
      <c r="R23" s="129" t="s">
        <v>732</v>
      </c>
      <c r="S23" s="38" t="e">
        <f>ROUND(N23/1000,0)</f>
        <v>#REF!</v>
      </c>
      <c r="T23" s="38"/>
      <c r="U23" s="38"/>
    </row>
    <row r="24" spans="1:21" x14ac:dyDescent="0.35">
      <c r="A24" s="97" t="s">
        <v>733</v>
      </c>
      <c r="B24" s="97"/>
      <c r="C24" s="128" t="e">
        <f>'RETA aruanne'!#REF!</f>
        <v>#REF!</v>
      </c>
      <c r="D24" s="4"/>
      <c r="E24" s="4"/>
      <c r="G24" s="129" t="s">
        <v>734</v>
      </c>
      <c r="H24" s="130" t="e">
        <f>ROUND(C24/1000,0)</f>
        <v>#REF!</v>
      </c>
      <c r="I24" s="130"/>
      <c r="J24" s="130"/>
      <c r="L24" s="97" t="s">
        <v>733</v>
      </c>
      <c r="M24" s="97"/>
      <c r="N24" s="128" t="e">
        <f>'RETA aruanne'!#REF!</f>
        <v>#REF!</v>
      </c>
      <c r="O24" s="4"/>
      <c r="P24" s="4"/>
      <c r="Q24" s="53"/>
      <c r="R24" s="129" t="s">
        <v>735</v>
      </c>
      <c r="S24" s="38" t="e">
        <f>ROUND(N24/1000,0)</f>
        <v>#REF!</v>
      </c>
      <c r="T24" s="38"/>
      <c r="U24" s="38"/>
    </row>
    <row r="25" spans="1:21" x14ac:dyDescent="0.35">
      <c r="A25" s="97" t="s">
        <v>736</v>
      </c>
      <c r="B25" s="97"/>
      <c r="C25" s="128"/>
      <c r="D25" s="4"/>
      <c r="E25" s="4"/>
      <c r="G25" s="129" t="s">
        <v>736</v>
      </c>
      <c r="H25" s="130"/>
      <c r="I25" s="130"/>
      <c r="J25" s="130"/>
      <c r="L25" s="97" t="s">
        <v>736</v>
      </c>
      <c r="M25" s="97"/>
      <c r="N25" s="128"/>
      <c r="O25" s="4"/>
      <c r="P25" s="4"/>
      <c r="Q25" s="53"/>
      <c r="R25" s="129" t="s">
        <v>736</v>
      </c>
      <c r="S25" s="38"/>
      <c r="T25" s="38"/>
      <c r="U25" s="38"/>
    </row>
    <row r="26" spans="1:21" x14ac:dyDescent="0.35">
      <c r="A26" s="92"/>
      <c r="B26" s="92" t="s">
        <v>737</v>
      </c>
      <c r="C26" s="128"/>
      <c r="D26" s="4"/>
      <c r="E26" s="4"/>
      <c r="G26" s="131" t="s">
        <v>737</v>
      </c>
      <c r="H26" s="130"/>
      <c r="I26" s="130">
        <f t="shared" ref="I26:I36" si="12">ROUND(D26/1000,0)</f>
        <v>0</v>
      </c>
      <c r="J26" s="130"/>
      <c r="L26" s="92"/>
      <c r="M26" s="92" t="s">
        <v>737</v>
      </c>
      <c r="N26" s="128"/>
      <c r="O26" s="4">
        <v>-8404230993.1899996</v>
      </c>
      <c r="P26" s="4"/>
      <c r="Q26" s="53"/>
      <c r="R26" s="131" t="s">
        <v>737</v>
      </c>
      <c r="S26" s="38"/>
      <c r="T26" s="38">
        <f t="shared" ref="T26:T36" si="13">ROUND(O26/1000,0)</f>
        <v>-8404231</v>
      </c>
      <c r="U26" s="38"/>
    </row>
    <row r="27" spans="1:21" x14ac:dyDescent="0.35">
      <c r="A27" s="92"/>
      <c r="B27" s="92" t="s">
        <v>14</v>
      </c>
      <c r="C27" s="128"/>
      <c r="D27" s="4"/>
      <c r="E27" s="4"/>
      <c r="G27" s="131" t="s">
        <v>14</v>
      </c>
      <c r="H27" s="130"/>
      <c r="I27" s="130">
        <f t="shared" si="12"/>
        <v>0</v>
      </c>
      <c r="J27" s="130"/>
      <c r="L27" s="92"/>
      <c r="M27" s="92" t="s">
        <v>14</v>
      </c>
      <c r="N27" s="128"/>
      <c r="O27" s="4">
        <v>-49369768.43</v>
      </c>
      <c r="P27" s="4"/>
      <c r="Q27" s="53"/>
      <c r="R27" s="131" t="s">
        <v>14</v>
      </c>
      <c r="S27" s="38"/>
      <c r="T27" s="38">
        <f t="shared" si="13"/>
        <v>-49370</v>
      </c>
      <c r="U27" s="38"/>
    </row>
    <row r="28" spans="1:21" x14ac:dyDescent="0.35">
      <c r="A28" s="92"/>
      <c r="B28" s="92" t="s">
        <v>738</v>
      </c>
      <c r="C28" s="92"/>
      <c r="D28" s="4"/>
      <c r="E28" s="4"/>
      <c r="G28" s="131" t="s">
        <v>738</v>
      </c>
      <c r="H28" s="130"/>
      <c r="I28" s="130">
        <f t="shared" si="12"/>
        <v>0</v>
      </c>
      <c r="J28" s="130"/>
      <c r="L28" s="92"/>
      <c r="M28" s="92" t="s">
        <v>738</v>
      </c>
      <c r="N28" s="92"/>
      <c r="O28" s="4">
        <v>-4789012215.8400002</v>
      </c>
      <c r="P28" s="4"/>
      <c r="Q28" s="53"/>
      <c r="R28" s="131" t="s">
        <v>738</v>
      </c>
      <c r="S28" s="38"/>
      <c r="T28" s="38">
        <f t="shared" si="13"/>
        <v>-4789012</v>
      </c>
      <c r="U28" s="38"/>
    </row>
    <row r="29" spans="1:21" x14ac:dyDescent="0.35">
      <c r="A29" s="92"/>
      <c r="B29" s="92" t="s">
        <v>739</v>
      </c>
      <c r="C29" s="128"/>
      <c r="D29" s="4"/>
      <c r="E29" s="4"/>
      <c r="G29" s="131" t="s">
        <v>739</v>
      </c>
      <c r="H29" s="130"/>
      <c r="I29" s="130">
        <f t="shared" si="12"/>
        <v>0</v>
      </c>
      <c r="J29" s="130"/>
      <c r="L29" s="92"/>
      <c r="M29" s="92" t="s">
        <v>739</v>
      </c>
      <c r="N29" s="128"/>
      <c r="O29" s="4">
        <v>-1452832053.99</v>
      </c>
      <c r="P29" s="4"/>
      <c r="Q29" s="53"/>
      <c r="R29" s="131" t="s">
        <v>739</v>
      </c>
      <c r="S29" s="38"/>
      <c r="T29" s="38">
        <f t="shared" si="13"/>
        <v>-1452832</v>
      </c>
      <c r="U29" s="38"/>
    </row>
    <row r="30" spans="1:21" x14ac:dyDescent="0.35">
      <c r="A30" s="92"/>
      <c r="B30" s="92" t="s">
        <v>740</v>
      </c>
      <c r="C30" s="128"/>
      <c r="D30" s="4"/>
      <c r="E30" s="4"/>
      <c r="G30" s="131" t="s">
        <v>740</v>
      </c>
      <c r="H30" s="130"/>
      <c r="I30" s="130">
        <f t="shared" si="12"/>
        <v>0</v>
      </c>
      <c r="J30" s="130"/>
      <c r="L30" s="92"/>
      <c r="M30" s="92" t="s">
        <v>740</v>
      </c>
      <c r="N30" s="128"/>
      <c r="O30" s="4">
        <v>-1074401550.1500001</v>
      </c>
      <c r="P30" s="4"/>
      <c r="R30" s="131" t="s">
        <v>740</v>
      </c>
      <c r="S30" s="38"/>
      <c r="T30" s="38">
        <f t="shared" si="13"/>
        <v>-1074402</v>
      </c>
      <c r="U30" s="38"/>
    </row>
    <row r="31" spans="1:21" x14ac:dyDescent="0.35">
      <c r="A31" s="92"/>
      <c r="B31" s="92" t="s">
        <v>741</v>
      </c>
      <c r="C31" s="128"/>
      <c r="D31" s="4"/>
      <c r="E31" s="4"/>
      <c r="G31" s="131" t="s">
        <v>741</v>
      </c>
      <c r="H31" s="130"/>
      <c r="I31" s="130">
        <f t="shared" si="12"/>
        <v>0</v>
      </c>
      <c r="J31" s="130"/>
      <c r="L31" s="92"/>
      <c r="M31" s="92" t="s">
        <v>741</v>
      </c>
      <c r="N31" s="128"/>
      <c r="O31" s="4">
        <v>-357166525.99000001</v>
      </c>
      <c r="P31" s="4"/>
      <c r="Q31" s="59"/>
      <c r="R31" s="131" t="s">
        <v>741</v>
      </c>
      <c r="S31" s="38"/>
      <c r="T31" s="38">
        <f t="shared" si="13"/>
        <v>-357167</v>
      </c>
      <c r="U31" s="38"/>
    </row>
    <row r="32" spans="1:21" x14ac:dyDescent="0.35">
      <c r="A32" s="92"/>
      <c r="B32" s="92" t="s">
        <v>742</v>
      </c>
      <c r="C32" s="128"/>
      <c r="D32" s="4"/>
      <c r="E32" s="4"/>
      <c r="G32" s="131" t="s">
        <v>742</v>
      </c>
      <c r="H32" s="130"/>
      <c r="I32" s="130">
        <f t="shared" si="12"/>
        <v>0</v>
      </c>
      <c r="J32" s="130"/>
      <c r="L32" s="92"/>
      <c r="M32" s="92" t="s">
        <v>742</v>
      </c>
      <c r="N32" s="128"/>
      <c r="O32" s="4">
        <f>-4969254495.52-O27-O28</f>
        <v>-130872511.25</v>
      </c>
      <c r="P32" s="4"/>
      <c r="Q32" s="53"/>
      <c r="R32" s="131" t="s">
        <v>742</v>
      </c>
      <c r="S32" s="38"/>
      <c r="T32" s="38">
        <f t="shared" si="13"/>
        <v>-130873</v>
      </c>
      <c r="U32" s="38"/>
    </row>
    <row r="33" spans="1:22" x14ac:dyDescent="0.35">
      <c r="A33" s="92"/>
      <c r="B33" s="92" t="s">
        <v>743</v>
      </c>
      <c r="C33" s="128"/>
      <c r="D33" s="4"/>
      <c r="E33" s="4"/>
      <c r="G33" s="131" t="s">
        <v>743</v>
      </c>
      <c r="H33" s="130"/>
      <c r="I33" s="130">
        <f t="shared" si="12"/>
        <v>0</v>
      </c>
      <c r="J33" s="130"/>
      <c r="L33" s="92"/>
      <c r="M33" s="92" t="s">
        <v>743</v>
      </c>
      <c r="N33" s="128"/>
      <c r="O33" s="4">
        <v>-459248511.25</v>
      </c>
      <c r="P33" s="4"/>
      <c r="Q33" s="53"/>
      <c r="R33" s="131" t="s">
        <v>743</v>
      </c>
      <c r="S33" s="38"/>
      <c r="T33" s="38">
        <f t="shared" si="13"/>
        <v>-459249</v>
      </c>
      <c r="U33" s="38"/>
    </row>
    <row r="34" spans="1:22" ht="15.5" x14ac:dyDescent="0.35">
      <c r="A34" s="92"/>
      <c r="B34" s="92" t="s">
        <v>744</v>
      </c>
      <c r="C34" s="5"/>
      <c r="D34" s="4">
        <v>0</v>
      </c>
      <c r="E34" s="4"/>
      <c r="G34" s="131" t="s">
        <v>744</v>
      </c>
      <c r="H34" s="130"/>
      <c r="I34" s="130">
        <f t="shared" si="12"/>
        <v>0</v>
      </c>
      <c r="J34" s="130"/>
      <c r="L34" s="92"/>
      <c r="M34" s="92" t="s">
        <v>744</v>
      </c>
      <c r="N34" s="5"/>
      <c r="O34" s="4">
        <v>0</v>
      </c>
      <c r="P34" s="4"/>
      <c r="Q34" s="53"/>
      <c r="R34" s="131" t="s">
        <v>744</v>
      </c>
      <c r="S34" s="38"/>
      <c r="T34" s="38">
        <f t="shared" si="13"/>
        <v>0</v>
      </c>
      <c r="U34" s="38"/>
    </row>
    <row r="35" spans="1:22" x14ac:dyDescent="0.35">
      <c r="A35" s="97" t="s">
        <v>745</v>
      </c>
      <c r="B35" s="97"/>
      <c r="C35" s="123" t="e">
        <f>SUM(C23:C34)</f>
        <v>#REF!</v>
      </c>
      <c r="D35" s="123">
        <f>SUM(D23:D34)</f>
        <v>0</v>
      </c>
      <c r="E35" s="134" t="e">
        <f>D35-C35</f>
        <v>#REF!</v>
      </c>
      <c r="G35" s="129" t="s">
        <v>745</v>
      </c>
      <c r="H35" s="130" t="e">
        <f>ROUND(C35/1000,0)</f>
        <v>#REF!</v>
      </c>
      <c r="I35" s="130">
        <f t="shared" si="12"/>
        <v>0</v>
      </c>
      <c r="J35" s="130" t="e">
        <f>ROUND(E35/1000,0)</f>
        <v>#REF!</v>
      </c>
      <c r="L35" s="97" t="s">
        <v>745</v>
      </c>
      <c r="M35" s="97"/>
      <c r="N35" s="123" t="e">
        <f>SUM(N23:N34)</f>
        <v>#REF!</v>
      </c>
      <c r="O35" s="123">
        <f>SUM(O23:O34)</f>
        <v>-16717134130.089998</v>
      </c>
      <c r="P35" s="134" t="e">
        <f>O35-N35</f>
        <v>#REF!</v>
      </c>
      <c r="Q35" s="53" t="e">
        <f t="shared" ref="Q35:Q36" si="14">N35-O35</f>
        <v>#REF!</v>
      </c>
      <c r="R35" s="129" t="s">
        <v>745</v>
      </c>
      <c r="S35" s="38" t="e">
        <f>ROUND(N35/1000,0)</f>
        <v>#REF!</v>
      </c>
      <c r="T35" s="38">
        <f t="shared" si="13"/>
        <v>-16717134</v>
      </c>
      <c r="U35" s="38" t="e">
        <f>ROUND(P35/1000,0)</f>
        <v>#REF!</v>
      </c>
    </row>
    <row r="36" spans="1:22" x14ac:dyDescent="0.35">
      <c r="A36" s="97" t="s">
        <v>746</v>
      </c>
      <c r="B36" s="97"/>
      <c r="C36" s="134" t="e">
        <f>C21+C35</f>
        <v>#REF!</v>
      </c>
      <c r="D36" s="134">
        <f>D21+D35</f>
        <v>0</v>
      </c>
      <c r="E36" s="134" t="e">
        <f>D36-C36</f>
        <v>#REF!</v>
      </c>
      <c r="F36" s="51"/>
      <c r="G36" s="129" t="s">
        <v>746</v>
      </c>
      <c r="H36" s="130" t="e">
        <f>ROUND(C36/1000,0)</f>
        <v>#REF!</v>
      </c>
      <c r="I36" s="130">
        <f t="shared" si="12"/>
        <v>0</v>
      </c>
      <c r="J36" s="130" t="e">
        <f>ROUND(E36/1000,0)</f>
        <v>#REF!</v>
      </c>
      <c r="K36" s="51"/>
      <c r="L36" s="97" t="s">
        <v>746</v>
      </c>
      <c r="M36" s="97"/>
      <c r="N36" s="134" t="e">
        <f>N21+N35</f>
        <v>#REF!</v>
      </c>
      <c r="O36" s="134">
        <f>O21+O35</f>
        <v>-521869156.21999741</v>
      </c>
      <c r="P36" s="134" t="e">
        <f>O36-N36</f>
        <v>#REF!</v>
      </c>
      <c r="Q36" s="53" t="e">
        <f t="shared" si="14"/>
        <v>#REF!</v>
      </c>
      <c r="R36" s="129" t="s">
        <v>746</v>
      </c>
      <c r="S36" s="44" t="e">
        <f>ROUND(N36/1000,0)</f>
        <v>#REF!</v>
      </c>
      <c r="T36" s="44">
        <f t="shared" si="13"/>
        <v>-521869</v>
      </c>
      <c r="U36" s="44" t="e">
        <f>ROUND(P36/1000,0)</f>
        <v>#REF!</v>
      </c>
      <c r="V36" s="51"/>
    </row>
    <row r="37" spans="1:22" x14ac:dyDescent="0.35">
      <c r="C37" s="2"/>
      <c r="D37" s="2"/>
      <c r="G37" s="69"/>
      <c r="H37" s="69"/>
      <c r="I37" s="69"/>
      <c r="J37" s="69"/>
      <c r="N37" s="2"/>
      <c r="O37" s="2">
        <v>-521869156.20999998</v>
      </c>
      <c r="Q37" s="26"/>
    </row>
    <row r="38" spans="1:22" x14ac:dyDescent="0.35">
      <c r="A38" t="s">
        <v>747</v>
      </c>
      <c r="C38" s="2"/>
      <c r="D38" s="135">
        <f>D36-D37</f>
        <v>0</v>
      </c>
      <c r="E38" s="2"/>
      <c r="G38" s="69"/>
      <c r="H38" s="69"/>
      <c r="I38" s="69"/>
      <c r="J38" s="69"/>
      <c r="N38" s="2"/>
      <c r="O38" s="135"/>
      <c r="P38" s="2"/>
      <c r="Q38" s="26"/>
    </row>
    <row r="39" spans="1:22" x14ac:dyDescent="0.35">
      <c r="A39" t="s">
        <v>748</v>
      </c>
      <c r="C39" s="2"/>
      <c r="D39" s="135"/>
      <c r="G39" s="69"/>
      <c r="H39" s="69"/>
      <c r="I39" s="69"/>
      <c r="J39" s="69"/>
      <c r="N39" s="2"/>
      <c r="O39" s="135"/>
      <c r="Q39" s="26"/>
    </row>
    <row r="40" spans="1:22" x14ac:dyDescent="0.35">
      <c r="A40" t="s">
        <v>749</v>
      </c>
      <c r="C40" s="2"/>
      <c r="D40" s="135"/>
      <c r="G40" s="69"/>
      <c r="H40" s="69"/>
      <c r="I40" s="69"/>
      <c r="J40" s="69"/>
      <c r="N40" s="2"/>
      <c r="O40" s="135"/>
      <c r="Q40" s="26"/>
    </row>
    <row r="41" spans="1:22" x14ac:dyDescent="0.35">
      <c r="A41" t="s">
        <v>750</v>
      </c>
      <c r="C41" s="2"/>
      <c r="D41" s="2"/>
      <c r="G41" s="69"/>
      <c r="H41" s="69"/>
      <c r="I41" s="69"/>
      <c r="J41" s="69"/>
      <c r="N41" s="2"/>
      <c r="O41" s="2"/>
      <c r="Q41" s="26"/>
    </row>
    <row r="42" spans="1:22" x14ac:dyDescent="0.35">
      <c r="A42" t="s">
        <v>751</v>
      </c>
      <c r="C42" s="2"/>
      <c r="D42" s="2"/>
      <c r="G42" s="69"/>
      <c r="H42" s="69"/>
      <c r="I42" s="69"/>
      <c r="J42" s="69"/>
      <c r="N42" s="2"/>
      <c r="O42" s="2"/>
      <c r="Q42" s="26"/>
    </row>
    <row r="43" spans="1:22" x14ac:dyDescent="0.35">
      <c r="A43" t="s">
        <v>752</v>
      </c>
      <c r="C43" s="2"/>
      <c r="D43" s="2"/>
      <c r="G43" s="69"/>
      <c r="H43" s="69"/>
      <c r="I43" s="69"/>
      <c r="J43" s="69"/>
      <c r="N43" s="2"/>
      <c r="O43" s="2"/>
      <c r="Q43" s="26"/>
    </row>
    <row r="44" spans="1:22" x14ac:dyDescent="0.35">
      <c r="A44" t="s">
        <v>753</v>
      </c>
      <c r="C44" s="2"/>
      <c r="D44" s="2"/>
      <c r="G44" s="69"/>
      <c r="H44" s="69"/>
      <c r="I44" s="69"/>
      <c r="J44" s="69"/>
      <c r="N44" s="2"/>
      <c r="O44" s="2"/>
      <c r="Q44" s="52"/>
    </row>
    <row r="45" spans="1:22" x14ac:dyDescent="0.35">
      <c r="A45" t="s">
        <v>754</v>
      </c>
      <c r="C45" s="2"/>
      <c r="D45" s="2"/>
      <c r="G45" s="69"/>
      <c r="H45" s="69"/>
      <c r="I45" s="69"/>
      <c r="J45" s="69"/>
      <c r="N45" s="2"/>
      <c r="O45" s="2"/>
      <c r="Q45" s="26"/>
    </row>
    <row r="46" spans="1:22" x14ac:dyDescent="0.35">
      <c r="A46" t="s">
        <v>755</v>
      </c>
      <c r="C46" s="2"/>
      <c r="D46" s="2"/>
      <c r="G46" s="69"/>
      <c r="H46" s="69"/>
      <c r="I46" s="69"/>
      <c r="J46" s="69"/>
      <c r="N46" s="2"/>
      <c r="O46" s="2"/>
      <c r="Q46" s="26"/>
    </row>
    <row r="47" spans="1:22" x14ac:dyDescent="0.35">
      <c r="A47" t="s">
        <v>756</v>
      </c>
      <c r="C47" s="2"/>
      <c r="D47" s="2"/>
      <c r="G47" s="69"/>
      <c r="H47" s="69"/>
      <c r="I47" s="69"/>
      <c r="J47" s="69"/>
      <c r="N47" s="2"/>
      <c r="O47" s="2"/>
      <c r="Q47" s="26"/>
    </row>
    <row r="48" spans="1:22" x14ac:dyDescent="0.35">
      <c r="A48" t="s">
        <v>757</v>
      </c>
      <c r="C48" s="2"/>
      <c r="D48" s="2"/>
      <c r="G48" s="69"/>
      <c r="H48" s="69"/>
      <c r="I48" s="69"/>
      <c r="J48" s="69"/>
      <c r="N48" s="2"/>
      <c r="O48" s="2"/>
      <c r="Q48" s="26"/>
    </row>
    <row r="49" spans="1:20" x14ac:dyDescent="0.35">
      <c r="C49" s="2"/>
      <c r="D49" s="2"/>
      <c r="G49" s="69"/>
      <c r="H49" s="69"/>
      <c r="I49" s="69"/>
      <c r="J49" s="69"/>
      <c r="N49" s="2"/>
      <c r="O49" s="2"/>
      <c r="Q49" s="26"/>
    </row>
    <row r="50" spans="1:20" x14ac:dyDescent="0.35">
      <c r="A50" s="51" t="s">
        <v>1031</v>
      </c>
      <c r="C50" s="2"/>
      <c r="D50" s="2"/>
      <c r="G50" s="69"/>
      <c r="H50" s="69"/>
      <c r="I50" s="69"/>
      <c r="J50" s="69"/>
      <c r="L50" s="51" t="s">
        <v>917</v>
      </c>
      <c r="N50" s="2"/>
      <c r="O50" s="2"/>
      <c r="Q50" s="26" t="s">
        <v>82</v>
      </c>
    </row>
    <row r="51" spans="1:20" x14ac:dyDescent="0.35">
      <c r="C51" s="2"/>
      <c r="D51" s="2"/>
      <c r="G51" s="69"/>
      <c r="H51" s="69"/>
      <c r="I51" s="69"/>
      <c r="J51" s="69"/>
      <c r="N51" s="2"/>
      <c r="O51" s="2"/>
      <c r="Q51" s="103"/>
    </row>
    <row r="52" spans="1:20" x14ac:dyDescent="0.35">
      <c r="A52" s="58"/>
      <c r="B52" s="123" t="s">
        <v>715</v>
      </c>
      <c r="C52" s="123" t="s">
        <v>758</v>
      </c>
      <c r="D52" s="58" t="s">
        <v>717</v>
      </c>
      <c r="G52" s="62"/>
      <c r="H52" s="133" t="s">
        <v>715</v>
      </c>
      <c r="I52" s="133" t="s">
        <v>758</v>
      </c>
      <c r="J52" s="69"/>
      <c r="L52" s="58"/>
      <c r="M52" s="123" t="s">
        <v>715</v>
      </c>
      <c r="N52" s="123" t="s">
        <v>758</v>
      </c>
      <c r="O52" s="58" t="s">
        <v>717</v>
      </c>
      <c r="Q52" s="106"/>
      <c r="R52" s="136"/>
      <c r="S52" s="44" t="s">
        <v>715</v>
      </c>
      <c r="T52" s="44" t="s">
        <v>758</v>
      </c>
    </row>
    <row r="53" spans="1:20" x14ac:dyDescent="0.35">
      <c r="A53" s="3" t="s">
        <v>759</v>
      </c>
      <c r="B53" s="4" t="e">
        <f>'RETA aruanne'!#REF!</f>
        <v>#REF!</v>
      </c>
      <c r="C53" s="4"/>
      <c r="D53" s="3"/>
      <c r="G53" s="137" t="s">
        <v>759</v>
      </c>
      <c r="H53" s="130" t="e">
        <f>ROUND(B53/1000,0)</f>
        <v>#REF!</v>
      </c>
      <c r="I53" s="130"/>
      <c r="J53" s="69"/>
      <c r="L53" s="3" t="s">
        <v>759</v>
      </c>
      <c r="M53" s="4" t="e">
        <f>'RETA aruanne'!#REF!</f>
        <v>#REF!</v>
      </c>
      <c r="N53" s="4"/>
      <c r="O53" s="3"/>
      <c r="Q53" s="106"/>
      <c r="R53" s="138" t="s">
        <v>759</v>
      </c>
      <c r="S53" s="38" t="e">
        <f>ROUND(M53/1000,0)</f>
        <v>#REF!</v>
      </c>
      <c r="T53" s="38"/>
    </row>
    <row r="54" spans="1:20" x14ac:dyDescent="0.35">
      <c r="A54" s="3" t="s">
        <v>760</v>
      </c>
      <c r="B54" s="4"/>
      <c r="C54" s="4"/>
      <c r="D54" s="3"/>
      <c r="G54" s="137" t="s">
        <v>760</v>
      </c>
      <c r="H54" s="130"/>
      <c r="I54" s="130">
        <f>ROUND(C54/1000,0)</f>
        <v>0</v>
      </c>
      <c r="J54" s="69"/>
      <c r="L54" s="3" t="s">
        <v>760</v>
      </c>
      <c r="M54" s="4"/>
      <c r="N54" s="4">
        <f>-756853269.74-4132496.03</f>
        <v>-760985765.76999998</v>
      </c>
      <c r="O54" s="3"/>
      <c r="Q54" s="106"/>
      <c r="R54" s="138" t="s">
        <v>760</v>
      </c>
      <c r="S54" s="38"/>
      <c r="T54" s="38">
        <f>ROUND(N54/1000,0)</f>
        <v>-760986</v>
      </c>
    </row>
    <row r="55" spans="1:20" x14ac:dyDescent="0.35">
      <c r="A55" s="3" t="s">
        <v>761</v>
      </c>
      <c r="B55" s="4"/>
      <c r="C55" s="4"/>
      <c r="D55" s="3"/>
      <c r="G55" s="137" t="s">
        <v>761</v>
      </c>
      <c r="H55" s="130"/>
      <c r="I55" s="130">
        <f t="shared" ref="I55:I58" si="15">ROUND(C55/1000,0)</f>
        <v>0</v>
      </c>
      <c r="J55" s="69"/>
      <c r="L55" s="3" t="s">
        <v>761</v>
      </c>
      <c r="M55" s="4"/>
      <c r="N55" s="4">
        <v>-79180934.219999999</v>
      </c>
      <c r="O55" s="3"/>
      <c r="Q55" s="106"/>
      <c r="R55" s="138" t="s">
        <v>761</v>
      </c>
      <c r="S55" s="38"/>
      <c r="T55" s="38">
        <f t="shared" ref="T55:T58" si="16">ROUND(N55/1000,0)</f>
        <v>-79181</v>
      </c>
    </row>
    <row r="56" spans="1:20" x14ac:dyDescent="0.35">
      <c r="A56" s="3" t="s">
        <v>762</v>
      </c>
      <c r="B56" s="4"/>
      <c r="C56" s="4"/>
      <c r="D56" s="3"/>
      <c r="G56" s="137" t="s">
        <v>762</v>
      </c>
      <c r="H56" s="130"/>
      <c r="I56" s="130">
        <f t="shared" si="15"/>
        <v>0</v>
      </c>
      <c r="J56" s="69"/>
      <c r="L56" s="3" t="s">
        <v>762</v>
      </c>
      <c r="M56" s="4"/>
      <c r="N56" s="4">
        <v>47176110.219999999</v>
      </c>
      <c r="O56" s="3"/>
      <c r="Q56" s="106"/>
      <c r="R56" s="138" t="s">
        <v>762</v>
      </c>
      <c r="S56" s="38"/>
      <c r="T56" s="38">
        <f t="shared" si="16"/>
        <v>47176</v>
      </c>
    </row>
    <row r="57" spans="1:20" x14ac:dyDescent="0.35">
      <c r="A57" s="3" t="s">
        <v>763</v>
      </c>
      <c r="B57" s="4"/>
      <c r="C57" s="4">
        <f>-tulud!C25</f>
        <v>-195384454.91</v>
      </c>
      <c r="D57" s="3"/>
      <c r="G57" s="137" t="s">
        <v>763</v>
      </c>
      <c r="H57" s="130"/>
      <c r="I57" s="130">
        <f t="shared" si="15"/>
        <v>-195384</v>
      </c>
      <c r="J57" s="69"/>
      <c r="L57" s="3" t="s">
        <v>763</v>
      </c>
      <c r="M57" s="4"/>
      <c r="N57" s="4">
        <f>-tulud!J25</f>
        <v>-122489713.43000001</v>
      </c>
      <c r="O57" s="3"/>
      <c r="Q57" s="106"/>
      <c r="R57" s="138"/>
      <c r="S57" s="38"/>
      <c r="T57" s="38">
        <f t="shared" si="16"/>
        <v>-122490</v>
      </c>
    </row>
    <row r="58" spans="1:20" x14ac:dyDescent="0.35">
      <c r="A58" s="58" t="s">
        <v>660</v>
      </c>
      <c r="B58" s="123" t="e">
        <f>SUM(B53:B56)</f>
        <v>#REF!</v>
      </c>
      <c r="C58" s="123">
        <f>SUM(C53:C57)</f>
        <v>-195384454.91</v>
      </c>
      <c r="D58" s="123" t="e">
        <f>C58-B58</f>
        <v>#REF!</v>
      </c>
      <c r="E58" s="2"/>
      <c r="G58" s="62" t="s">
        <v>660</v>
      </c>
      <c r="H58" s="133" t="e">
        <f>ROUND(B58/1000,0)</f>
        <v>#REF!</v>
      </c>
      <c r="I58" s="133">
        <f t="shared" si="15"/>
        <v>-195384</v>
      </c>
      <c r="J58" s="69"/>
      <c r="L58" s="58" t="s">
        <v>660</v>
      </c>
      <c r="M58" s="123" t="e">
        <f>SUM(M53:M56)</f>
        <v>#REF!</v>
      </c>
      <c r="N58" s="123">
        <f>SUM(N53:N57)</f>
        <v>-915480303.20000005</v>
      </c>
      <c r="O58" s="123" t="e">
        <f>N58-M58</f>
        <v>#REF!</v>
      </c>
      <c r="P58" s="2"/>
      <c r="Q58" s="106"/>
      <c r="R58" s="136" t="s">
        <v>660</v>
      </c>
      <c r="S58" s="44" t="e">
        <f>ROUND(M58/1000,0)</f>
        <v>#REF!</v>
      </c>
      <c r="T58" s="44">
        <f t="shared" si="16"/>
        <v>-915480</v>
      </c>
    </row>
    <row r="59" spans="1:20" x14ac:dyDescent="0.35">
      <c r="C59" s="2"/>
      <c r="D59" s="2"/>
      <c r="G59" s="69"/>
      <c r="H59" s="69"/>
      <c r="I59" s="69"/>
      <c r="J59" s="69"/>
      <c r="N59" s="2"/>
      <c r="O59" s="2"/>
      <c r="Q59" s="106"/>
    </row>
    <row r="60" spans="1:20" x14ac:dyDescent="0.35">
      <c r="A60" t="s">
        <v>764</v>
      </c>
      <c r="C60" s="2"/>
      <c r="D60" s="2"/>
      <c r="G60" s="69"/>
      <c r="H60" s="69"/>
      <c r="I60" s="69"/>
      <c r="J60" s="69"/>
      <c r="N60" s="2"/>
      <c r="O60" s="2"/>
      <c r="Q60" s="106"/>
    </row>
    <row r="62" spans="1:20" x14ac:dyDescent="0.35">
      <c r="C62" s="2"/>
    </row>
    <row r="63" spans="1:20" x14ac:dyDescent="0.35">
      <c r="D63" s="2"/>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7C23D-7B53-4569-8631-B49B6F0F76D6}">
  <dimension ref="A1:L158"/>
  <sheetViews>
    <sheetView workbookViewId="0">
      <selection activeCell="G15" sqref="G15"/>
    </sheetView>
  </sheetViews>
  <sheetFormatPr defaultRowHeight="14.5" x14ac:dyDescent="0.35"/>
  <cols>
    <col min="2" max="3" width="17.81640625" bestFit="1" customWidth="1"/>
    <col min="4" max="4" width="15.7265625" bestFit="1" customWidth="1"/>
    <col min="5" max="5" width="15.7265625" customWidth="1"/>
    <col min="6" max="7" width="16.7265625" bestFit="1" customWidth="1"/>
    <col min="8" max="8" width="16.7265625" customWidth="1"/>
    <col min="9" max="9" width="16.7265625" bestFit="1" customWidth="1"/>
    <col min="10" max="10" width="23.1796875" customWidth="1"/>
    <col min="12" max="12" width="16.7265625" bestFit="1" customWidth="1"/>
  </cols>
  <sheetData>
    <row r="1" spans="1:10" x14ac:dyDescent="0.35">
      <c r="A1" t="s">
        <v>1157</v>
      </c>
      <c r="B1" s="26"/>
      <c r="C1" s="26"/>
      <c r="D1" s="26"/>
      <c r="E1" s="26"/>
      <c r="F1" s="26"/>
      <c r="G1" s="26"/>
      <c r="H1" s="26"/>
      <c r="I1" s="26"/>
      <c r="J1" s="26"/>
    </row>
    <row r="2" spans="1:10" x14ac:dyDescent="0.35">
      <c r="B2" s="26"/>
      <c r="C2" s="26"/>
      <c r="D2" s="26"/>
      <c r="E2" s="26"/>
      <c r="F2" s="26"/>
      <c r="G2" s="26"/>
      <c r="H2" s="26"/>
      <c r="I2" s="26"/>
      <c r="J2" s="26"/>
    </row>
    <row r="3" spans="1:10" x14ac:dyDescent="0.35">
      <c r="A3" s="139"/>
      <c r="B3" s="291" t="s">
        <v>765</v>
      </c>
      <c r="C3" s="292"/>
      <c r="D3" s="292"/>
      <c r="E3" s="293"/>
      <c r="F3" s="294" t="s">
        <v>766</v>
      </c>
      <c r="G3" s="295"/>
      <c r="H3" s="295"/>
      <c r="I3" s="296"/>
      <c r="J3" s="194" t="s">
        <v>795</v>
      </c>
    </row>
    <row r="4" spans="1:10" x14ac:dyDescent="0.35">
      <c r="A4" s="140"/>
      <c r="B4" s="141" t="s">
        <v>40</v>
      </c>
      <c r="C4" s="141" t="s">
        <v>768</v>
      </c>
      <c r="D4" s="141" t="s">
        <v>792</v>
      </c>
      <c r="E4" s="141" t="s">
        <v>793</v>
      </c>
      <c r="F4" s="141" t="s">
        <v>94</v>
      </c>
      <c r="G4" s="141" t="s">
        <v>24</v>
      </c>
      <c r="H4" s="141" t="s">
        <v>798</v>
      </c>
      <c r="I4" s="141" t="s">
        <v>793</v>
      </c>
      <c r="J4" s="141"/>
    </row>
    <row r="5" spans="1:10" x14ac:dyDescent="0.35">
      <c r="A5" s="36" t="s">
        <v>83</v>
      </c>
      <c r="B5" s="53">
        <f>'Lisa3 RE ja TA võrdlus'!C5+'Lisa3 RE ja TA võrdlus'!C6+'Lisa3 RE ja TA võrdlus'!C7+'Lisa3 RE ja TA võrdlus'!C8</f>
        <v>67040.84</v>
      </c>
      <c r="C5" s="53">
        <f>'Lisa3 RE ja TA võrdlus'!C10+'Lisa3 RE ja TA võrdlus'!C11+'Lisa3 RE ja TA võrdlus'!C14</f>
        <v>-32797590.969999999</v>
      </c>
      <c r="D5" s="53">
        <f>'Lisa3 RE ja TA võrdlus'!C9+'Lisa3 RE ja TA võrdlus'!C12</f>
        <v>-97559.29</v>
      </c>
      <c r="E5" s="53">
        <f>SUM(B5:D5)</f>
        <v>-32828109.419999998</v>
      </c>
      <c r="F5" s="53" t="e">
        <f>'RETA aruanne'!#REF!</f>
        <v>#REF!</v>
      </c>
      <c r="G5" s="53" t="e">
        <f>'RETA aruanne'!#REF!+'RETA aruanne'!#REF!</f>
        <v>#REF!</v>
      </c>
      <c r="H5" s="53" t="e">
        <f>'RETA aruanne'!#REF!+'RETA aruanne'!#REF!</f>
        <v>#REF!</v>
      </c>
      <c r="I5" s="53" t="e">
        <f t="shared" ref="I5:I23" si="0">SUM(F5:H5)</f>
        <v>#REF!</v>
      </c>
      <c r="J5" s="53" t="e">
        <f t="shared" ref="J5:J23" si="1">I5-E5</f>
        <v>#REF!</v>
      </c>
    </row>
    <row r="6" spans="1:10" ht="21.5" x14ac:dyDescent="0.35">
      <c r="A6" s="36" t="s">
        <v>84</v>
      </c>
      <c r="B6" s="53">
        <f>'Lisa3 RE ja TA võrdlus'!C15+'Lisa3 RE ja TA võrdlus'!C16+'Lisa3 RE ja TA võrdlus'!C17</f>
        <v>46043.83</v>
      </c>
      <c r="C6" s="53">
        <f>'Lisa3 RE ja TA võrdlus'!C19+'Lisa3 RE ja TA võrdlus'!C20+'Lisa3 RE ja TA võrdlus'!C23</f>
        <v>-6699295.25</v>
      </c>
      <c r="D6" s="53">
        <f>'Lisa3 RE ja TA võrdlus'!C18+'Lisa3 RE ja TA võrdlus'!C21</f>
        <v>-328304</v>
      </c>
      <c r="E6" s="53">
        <f t="shared" ref="E6:E23" si="2">SUM(B6:D6)</f>
        <v>-6981555.4199999999</v>
      </c>
      <c r="F6" s="53" t="e">
        <f>'RETA aruanne'!#REF!</f>
        <v>#REF!</v>
      </c>
      <c r="G6" s="53" t="e">
        <f>'RETA aruanne'!#REF!+'RETA aruanne'!#REF!</f>
        <v>#REF!</v>
      </c>
      <c r="H6" s="53" t="e">
        <f>'RETA aruanne'!#REF!-'RETA aruanne'!#REF!</f>
        <v>#REF!</v>
      </c>
      <c r="I6" s="53" t="e">
        <f t="shared" si="0"/>
        <v>#REF!</v>
      </c>
      <c r="J6" s="53" t="e">
        <f t="shared" si="1"/>
        <v>#REF!</v>
      </c>
    </row>
    <row r="7" spans="1:10" x14ac:dyDescent="0.35">
      <c r="A7" s="36" t="s">
        <v>44</v>
      </c>
      <c r="B7" s="53">
        <f>'Lisa3 RE ja TA võrdlus'!C24+'Lisa3 RE ja TA võrdlus'!C25</f>
        <v>0</v>
      </c>
      <c r="C7" s="53">
        <f>'Lisa3 RE ja TA võrdlus'!C27+'Lisa3 RE ja TA võrdlus'!C28+'Lisa3 RE ja TA võrdlus'!C31</f>
        <v>-5917890.1100000003</v>
      </c>
      <c r="D7" s="53">
        <f>'Lisa3 RE ja TA võrdlus'!C26+'Lisa3 RE ja TA võrdlus'!C29</f>
        <v>-1991</v>
      </c>
      <c r="E7" s="53">
        <f t="shared" si="2"/>
        <v>-5919881.1100000003</v>
      </c>
      <c r="F7" s="53" t="e">
        <f>'RETA aruanne'!#REF!</f>
        <v>#REF!</v>
      </c>
      <c r="G7" s="53" t="e">
        <f>'RETA aruanne'!#REF!+'RETA aruanne'!#REF!</f>
        <v>#REF!</v>
      </c>
      <c r="H7" s="53" t="e">
        <f>'RETA aruanne'!#REF!</f>
        <v>#REF!</v>
      </c>
      <c r="I7" s="53" t="e">
        <f t="shared" si="0"/>
        <v>#REF!</v>
      </c>
      <c r="J7" s="53" t="e">
        <f t="shared" si="1"/>
        <v>#REF!</v>
      </c>
    </row>
    <row r="8" spans="1:10" ht="21.5" x14ac:dyDescent="0.35">
      <c r="A8" s="36" t="s">
        <v>45</v>
      </c>
      <c r="B8" s="53">
        <f>'Lisa3 RE ja TA võrdlus'!C32</f>
        <v>12786</v>
      </c>
      <c r="C8" s="53">
        <f>'Lisa3 RE ja TA võrdlus'!C34+'Lisa3 RE ja TA võrdlus'!C36</f>
        <v>-3432756.27</v>
      </c>
      <c r="D8" s="53">
        <f>'Lisa3 RE ja TA võrdlus'!C33+'Lisa3 RE ja TA võrdlus'!C35</f>
        <v>-1684</v>
      </c>
      <c r="E8" s="53">
        <f t="shared" si="2"/>
        <v>-3421654.27</v>
      </c>
      <c r="F8" s="53" t="e">
        <f>'RETA aruanne'!#REF!</f>
        <v>#REF!</v>
      </c>
      <c r="G8" s="53" t="e">
        <f>'RETA aruanne'!#REF!</f>
        <v>#REF!</v>
      </c>
      <c r="H8" s="53" t="e">
        <f>'RETA aruanne'!#REF!</f>
        <v>#REF!</v>
      </c>
      <c r="I8" s="53" t="e">
        <f t="shared" si="0"/>
        <v>#REF!</v>
      </c>
      <c r="J8" s="53" t="e">
        <f t="shared" si="1"/>
        <v>#REF!</v>
      </c>
    </row>
    <row r="9" spans="1:10" x14ac:dyDescent="0.35">
      <c r="A9" s="36" t="s">
        <v>46</v>
      </c>
      <c r="B9" s="53">
        <f>'Lisa3 RE ja TA võrdlus'!C38+'Lisa3 RE ja TA võrdlus'!C39+'Lisa3 RE ja TA võrdlus'!C40+'Lisa3 RE ja TA võrdlus'!C41+'Lisa3 RE ja TA võrdlus'!C42</f>
        <v>407762.44</v>
      </c>
      <c r="C9" s="53">
        <f>'Lisa3 RE ja TA võrdlus'!C43+'Lisa3 RE ja TA võrdlus'!C45+'Lisa3 RE ja TA võrdlus'!C47</f>
        <v>-7034367.9100000001</v>
      </c>
      <c r="D9" s="53">
        <f>'Lisa3 RE ja TA võrdlus'!C44</f>
        <v>-461922</v>
      </c>
      <c r="E9" s="53">
        <f t="shared" si="2"/>
        <v>-7088527.4699999997</v>
      </c>
      <c r="F9" s="53" t="e">
        <f>'RETA aruanne'!#REF!</f>
        <v>#REF!</v>
      </c>
      <c r="G9" s="53" t="e">
        <f>'RETA aruanne'!#REF!+'RETA aruanne'!#REF!</f>
        <v>#REF!</v>
      </c>
      <c r="H9" s="53" t="e">
        <f>'RETA aruanne'!#REF!</f>
        <v>#REF!</v>
      </c>
      <c r="I9" s="53" t="e">
        <f t="shared" si="0"/>
        <v>#REF!</v>
      </c>
      <c r="J9" s="53" t="e">
        <f t="shared" si="1"/>
        <v>#REF!</v>
      </c>
    </row>
    <row r="10" spans="1:10" ht="21.5" x14ac:dyDescent="0.35">
      <c r="A10" s="36" t="s">
        <v>47</v>
      </c>
      <c r="B10" s="53">
        <f>'Lisa3 RE ja TA võrdlus'!C48+'Lisa3 RE ja TA võrdlus'!C49</f>
        <v>4853384.6400000006</v>
      </c>
      <c r="C10" s="53">
        <f>'Lisa3 RE ja TA võrdlus'!C51+'Lisa3 RE ja TA võrdlus'!C53+'Lisa3 RE ja TA võrdlus'!C56</f>
        <v>-26649315.460000001</v>
      </c>
      <c r="D10" s="53">
        <f>'Lisa3 RE ja TA võrdlus'!C50+'Lisa3 RE ja TA võrdlus'!C52</f>
        <v>-3480.44</v>
      </c>
      <c r="E10" s="53">
        <f t="shared" si="2"/>
        <v>-21799411.260000002</v>
      </c>
      <c r="F10" s="53" t="e">
        <f>'RETA aruanne'!#REF!</f>
        <v>#REF!</v>
      </c>
      <c r="G10" s="53" t="e">
        <f>'RETA aruanne'!#REF!+'RETA aruanne'!#REF!</f>
        <v>#REF!</v>
      </c>
      <c r="H10" s="53" t="e">
        <f>'RETA aruanne'!#REF!</f>
        <v>#REF!</v>
      </c>
      <c r="I10" s="53" t="e">
        <f t="shared" si="0"/>
        <v>#REF!</v>
      </c>
      <c r="J10" s="53" t="e">
        <f t="shared" si="1"/>
        <v>#REF!</v>
      </c>
    </row>
    <row r="11" spans="1:10" ht="31.5" x14ac:dyDescent="0.35">
      <c r="A11" s="36" t="s">
        <v>85</v>
      </c>
      <c r="B11" s="53">
        <f>'Lisa3 RE ja TA võrdlus'!C57+'Lisa3 RE ja TA võrdlus'!C58+'Lisa3 RE ja TA võrdlus'!C60+'Lisa3 RE ja TA võrdlus'!C61+'Lisa3 RE ja TA võrdlus'!C62+'Lisa3 RE ja TA võrdlus'!C63</f>
        <v>133957917.07999998</v>
      </c>
      <c r="C11" s="53">
        <f>'Lisa3 RE ja TA võrdlus'!C65+'Lisa3 RE ja TA võrdlus'!C68+'Lisa3 RE ja TA võrdlus'!C71+'Lisa3 RE ja TA võrdlus'!C72</f>
        <v>-1090414666.3399997</v>
      </c>
      <c r="D11" s="53">
        <f>'Lisa3 RE ja TA võrdlus'!C64+'Lisa3 RE ja TA võrdlus'!C67</f>
        <v>0</v>
      </c>
      <c r="E11" s="53">
        <f t="shared" si="2"/>
        <v>-956456749.25999975</v>
      </c>
      <c r="F11" s="53" t="e">
        <f>'RETA aruanne'!#REF!</f>
        <v>#REF!</v>
      </c>
      <c r="G11" s="53" t="e">
        <f>'RETA aruanne'!#REF!+'RETA aruanne'!#REF!+'RETA aruanne'!#REF!</f>
        <v>#REF!</v>
      </c>
      <c r="H11" s="53" t="e">
        <f>'RETA aruanne'!#REF!</f>
        <v>#REF!</v>
      </c>
      <c r="I11" s="53" t="e">
        <f t="shared" si="0"/>
        <v>#REF!</v>
      </c>
      <c r="J11" s="53" t="e">
        <f t="shared" si="1"/>
        <v>#REF!</v>
      </c>
    </row>
    <row r="12" spans="1:10" ht="21.5" x14ac:dyDescent="0.35">
      <c r="A12" s="36" t="s">
        <v>86</v>
      </c>
      <c r="B12" s="53">
        <f>'Lisa3 RE ja TA võrdlus'!C76+'Lisa3 RE ja TA võrdlus'!C77+'Lisa3 RE ja TA võrdlus'!C78+'Lisa3 RE ja TA võrdlus'!C79+'Lisa3 RE ja TA võrdlus'!C80+'Lisa3 RE ja TA võrdlus'!C81</f>
        <v>103197675.33999999</v>
      </c>
      <c r="C12" s="53">
        <f>'Lisa3 RE ja TA võrdlus'!C84+'Lisa3 RE ja TA võrdlus'!C87+'Lisa3 RE ja TA võrdlus'!C90+'Lisa3 RE ja TA võrdlus'!C93</f>
        <v>-359118433.63</v>
      </c>
      <c r="D12" s="53">
        <f>'Lisa3 RE ja TA võrdlus'!C83+'Lisa3 RE ja TA võrdlus'!C86</f>
        <v>-5222502</v>
      </c>
      <c r="E12" s="53">
        <f t="shared" si="2"/>
        <v>-261143260.29000002</v>
      </c>
      <c r="F12" s="53" t="e">
        <f>'RETA aruanne'!#REF!</f>
        <v>#REF!</v>
      </c>
      <c r="G12" s="53" t="e">
        <f>'RETA aruanne'!#REF!+'RETA aruanne'!#REF!+'RETA aruanne'!#REF!</f>
        <v>#REF!</v>
      </c>
      <c r="H12" s="53" t="e">
        <f>'RETA aruanne'!#REF!-'RETA aruanne'!#REF!</f>
        <v>#REF!</v>
      </c>
      <c r="I12" s="53" t="e">
        <f t="shared" si="0"/>
        <v>#REF!</v>
      </c>
      <c r="J12" s="53" t="e">
        <f t="shared" si="1"/>
        <v>#REF!</v>
      </c>
    </row>
    <row r="13" spans="1:10" ht="21.5" x14ac:dyDescent="0.35">
      <c r="A13" s="36" t="s">
        <v>87</v>
      </c>
      <c r="B13" s="53">
        <f>'Lisa3 RE ja TA võrdlus'!C95+'Lisa3 RE ja TA võrdlus'!C96+'Lisa3 RE ja TA võrdlus'!C97+'Lisa3 RE ja TA võrdlus'!C98+'Lisa3 RE ja TA võrdlus'!C99</f>
        <v>484222484.44999999</v>
      </c>
      <c r="C13" s="53">
        <f>'Lisa3 RE ja TA võrdlus'!C102+'Lisa3 RE ja TA võrdlus'!C105+'Lisa3 RE ja TA võrdlus'!C108</f>
        <v>-1465584265.96</v>
      </c>
      <c r="D13" s="53">
        <f>'Lisa3 RE ja TA võrdlus'!C101+'Lisa3 RE ja TA võrdlus'!C104</f>
        <v>674400.99</v>
      </c>
      <c r="E13" s="53">
        <f t="shared" si="2"/>
        <v>-980687380.51999998</v>
      </c>
      <c r="F13" s="53" t="e">
        <f>'RETA aruanne'!#REF!</f>
        <v>#REF!</v>
      </c>
      <c r="G13" s="53" t="e">
        <f>'RETA aruanne'!#REF!+'RETA aruanne'!#REF!</f>
        <v>#REF!</v>
      </c>
      <c r="H13" s="53" t="e">
        <f>'RETA aruanne'!#REF!</f>
        <v>#REF!</v>
      </c>
      <c r="I13" s="53" t="e">
        <f t="shared" si="0"/>
        <v>#REF!</v>
      </c>
      <c r="J13" s="53" t="e">
        <f t="shared" si="1"/>
        <v>#REF!</v>
      </c>
    </row>
    <row r="14" spans="1:10" ht="21.5" x14ac:dyDescent="0.35">
      <c r="A14" s="36" t="s">
        <v>878</v>
      </c>
      <c r="B14" s="53">
        <f>'Lisa3 RE ja TA võrdlus'!C109+'Lisa3 RE ja TA võrdlus'!C110+'Lisa3 RE ja TA võrdlus'!C111+'Lisa3 RE ja TA võrdlus'!C112+'Lisa3 RE ja TA võrdlus'!C113+'Lisa3 RE ja TA võrdlus'!C114+'Lisa3 RE ja TA võrdlus'!C115</f>
        <v>938910827.10000002</v>
      </c>
      <c r="C14" s="53">
        <f>'Lisa3 RE ja TA võrdlus'!C118+'Lisa3 RE ja TA võrdlus'!C121+'Lisa3 RE ja TA võrdlus'!C124</f>
        <v>-1073050638.88</v>
      </c>
      <c r="D14" s="53">
        <f>'Lisa3 RE ja TA võrdlus'!C117+'Lisa3 RE ja TA võrdlus'!C120</f>
        <v>73704617.480000004</v>
      </c>
      <c r="E14" s="53">
        <f t="shared" si="2"/>
        <v>-60435194.299999967</v>
      </c>
      <c r="F14" s="53" t="e">
        <f>'RETA aruanne'!#REF!</f>
        <v>#REF!</v>
      </c>
      <c r="G14" s="53" t="e">
        <f>'RETA aruanne'!#REF!+'RETA aruanne'!#REF!</f>
        <v>#REF!</v>
      </c>
      <c r="H14" s="53" t="e">
        <f>'RETA aruanne'!#REF!</f>
        <v>#REF!</v>
      </c>
      <c r="I14" s="53" t="e">
        <f t="shared" si="0"/>
        <v>#REF!</v>
      </c>
      <c r="J14" s="53" t="e">
        <f t="shared" si="1"/>
        <v>#REF!</v>
      </c>
    </row>
    <row r="15" spans="1:10" ht="21.5" x14ac:dyDescent="0.35">
      <c r="A15" s="36" t="s">
        <v>88</v>
      </c>
      <c r="B15" s="53">
        <f>'Lisa3 RE ja TA võrdlus'!C130+'Lisa3 RE ja TA võrdlus'!C131+'Lisa3 RE ja TA võrdlus'!C132+'Lisa3 RE ja TA võrdlus'!C133+'Lisa3 RE ja TA võrdlus'!C134+'Lisa3 RE ja TA võrdlus'!C135</f>
        <v>66428027.040000007</v>
      </c>
      <c r="C15" s="53">
        <f>'Lisa3 RE ja TA võrdlus'!C138+'Lisa3 RE ja TA võrdlus'!C141+'Lisa3 RE ja TA võrdlus'!C144</f>
        <v>-363349373.75999999</v>
      </c>
      <c r="D15" s="53">
        <f>'Lisa3 RE ja TA võrdlus'!C137+'Lisa3 RE ja TA võrdlus'!C140</f>
        <v>-2036459.1500000001</v>
      </c>
      <c r="E15" s="53">
        <f t="shared" si="2"/>
        <v>-298957805.86999995</v>
      </c>
      <c r="F15" s="53">
        <f>'RETA aruanne'!E5</f>
        <v>17760113.699999999</v>
      </c>
      <c r="G15" s="53">
        <f>'RETA aruanne'!E11+'RETA aruanne'!E66</f>
        <v>-362643973.04097605</v>
      </c>
      <c r="H15" s="53">
        <f>'RETA aruanne'!E71</f>
        <v>45926053.469999991</v>
      </c>
      <c r="I15" s="53">
        <f t="shared" si="0"/>
        <v>-298957805.87097609</v>
      </c>
      <c r="J15" s="53">
        <f t="shared" si="1"/>
        <v>-9.7614526748657227E-4</v>
      </c>
    </row>
    <row r="16" spans="1:10" ht="51.5" x14ac:dyDescent="0.35">
      <c r="A16" s="36" t="s">
        <v>89</v>
      </c>
      <c r="B16" s="53">
        <f>'Lisa3 RE ja TA võrdlus'!C146+'Lisa3 RE ja TA võrdlus'!C147+'Lisa3 RE ja TA võrdlus'!C148+'Lisa3 RE ja TA võrdlus'!C149+'Lisa3 RE ja TA võrdlus'!C150+'Lisa3 RE ja TA võrdlus'!C151+'Lisa3 RE ja TA võrdlus'!C152</f>
        <v>482052580.87</v>
      </c>
      <c r="C16" s="53">
        <f>'Lisa3 RE ja TA võrdlus'!C155+'Lisa3 RE ja TA võrdlus'!C158+'Lisa3 RE ja TA võrdlus'!C161</f>
        <v>-1217066902.5799999</v>
      </c>
      <c r="D16" s="53">
        <f>'Lisa3 RE ja TA võrdlus'!C154+'Lisa3 RE ja TA võrdlus'!C157</f>
        <v>13100083.379999999</v>
      </c>
      <c r="E16" s="53">
        <f t="shared" si="2"/>
        <v>-721914238.32999992</v>
      </c>
      <c r="F16" s="53" t="e">
        <f>'RETA aruanne'!#REF!</f>
        <v>#REF!</v>
      </c>
      <c r="G16" s="53" t="e">
        <f>'RETA aruanne'!#REF!+'RETA aruanne'!#REF!</f>
        <v>#REF!</v>
      </c>
      <c r="H16" s="53" t="e">
        <f>'RETA aruanne'!#REF!</f>
        <v>#REF!</v>
      </c>
      <c r="I16" s="53" t="e">
        <f t="shared" si="0"/>
        <v>#REF!</v>
      </c>
      <c r="J16" s="53" t="e">
        <f t="shared" si="1"/>
        <v>#REF!</v>
      </c>
    </row>
    <row r="17" spans="1:10" ht="53.5" x14ac:dyDescent="0.35">
      <c r="A17" s="37" t="s">
        <v>879</v>
      </c>
      <c r="B17" s="53">
        <f>'Lisa3 RE ja TA võrdlus'!C168+'Lisa3 RE ja TA võrdlus'!C169+'Lisa3 RE ja TA võrdlus'!C170+'Lisa3 RE ja TA võrdlus'!C171+'Lisa3 RE ja TA võrdlus'!C172+'Lisa3 RE ja TA võrdlus'!C173+'Lisa3 RE ja TA võrdlus'!C174</f>
        <v>469790079.62</v>
      </c>
      <c r="C17" s="53">
        <f>'Lisa3 RE ja TA võrdlus'!C177+'Lisa3 RE ja TA võrdlus'!C180+'Lisa3 RE ja TA võrdlus'!C183</f>
        <v>-1507067077.1400001</v>
      </c>
      <c r="D17" s="53">
        <f>'Lisa3 RE ja TA võrdlus'!C176+'Lisa3 RE ja TA võrdlus'!C179</f>
        <v>7146036.2100000009</v>
      </c>
      <c r="E17" s="53">
        <f t="shared" si="2"/>
        <v>-1030130961.3100001</v>
      </c>
      <c r="F17" s="53" t="e">
        <f>'RETA aruanne'!#REF!</f>
        <v>#REF!</v>
      </c>
      <c r="G17" s="53" t="e">
        <f>'RETA aruanne'!#REF!+'RETA aruanne'!#REF!</f>
        <v>#REF!</v>
      </c>
      <c r="H17" s="53" t="e">
        <f>'RETA aruanne'!#REF!</f>
        <v>#REF!</v>
      </c>
      <c r="I17" s="53" t="e">
        <f t="shared" si="0"/>
        <v>#REF!</v>
      </c>
      <c r="J17" s="53" t="e">
        <f t="shared" si="1"/>
        <v>#REF!</v>
      </c>
    </row>
    <row r="18" spans="1:10" ht="21.5" x14ac:dyDescent="0.35">
      <c r="A18" s="36" t="s">
        <v>90</v>
      </c>
      <c r="B18" s="53">
        <f>'Lisa3 RE ja TA võrdlus'!C188+'Lisa3 RE ja TA võrdlus'!C189+'Lisa3 RE ja TA võrdlus'!C190+'Lisa3 RE ja TA võrdlus'!C191+'Lisa3 RE ja TA võrdlus'!C192+'Lisa3 RE ja TA võrdlus'!C193+'Lisa3 RE ja TA võrdlus'!C194</f>
        <v>15535751692.240002</v>
      </c>
      <c r="C18" s="53">
        <f>'Lisa3 RE ja TA võrdlus'!C197+'Lisa3 RE ja TA võrdlus'!C200+'Lisa3 RE ja TA võrdlus'!C202+'Lisa3 RE ja TA võrdlus'!C218</f>
        <v>-8420358415.0799999</v>
      </c>
      <c r="D18" s="53">
        <f>'Lisa3 RE ja TA võrdlus'!C196+'Lisa3 RE ja TA võrdlus'!C199</f>
        <v>-37562428.289999992</v>
      </c>
      <c r="E18" s="53">
        <f t="shared" si="2"/>
        <v>7077830848.8700018</v>
      </c>
      <c r="F18" s="53" t="e">
        <f>'RETA aruanne'!#REF!</f>
        <v>#REF!</v>
      </c>
      <c r="G18" s="53" t="e">
        <f>'RETA aruanne'!#REF!+'RETA aruanne'!#REF!+'RETA aruanne'!#REF!</f>
        <v>#REF!</v>
      </c>
      <c r="H18" s="53" t="e">
        <f>'RETA aruanne'!#REF!-'RETA aruanne'!#REF!</f>
        <v>#REF!</v>
      </c>
      <c r="I18" s="53" t="e">
        <f t="shared" si="0"/>
        <v>#REF!</v>
      </c>
      <c r="J18" s="53" t="e">
        <f t="shared" si="1"/>
        <v>#REF!</v>
      </c>
    </row>
    <row r="19" spans="1:10" ht="22.5" customHeight="1" x14ac:dyDescent="0.35">
      <c r="A19" s="36" t="s">
        <v>91</v>
      </c>
      <c r="B19" s="53">
        <f>'Lisa3 RE ja TA võrdlus'!C219+'Lisa3 RE ja TA võrdlus'!C220+'Lisa3 RE ja TA võrdlus'!C221+'Lisa3 RE ja TA võrdlus'!C222+'Lisa3 RE ja TA võrdlus'!C223+'Lisa3 RE ja TA võrdlus'!C224</f>
        <v>109196167.35000002</v>
      </c>
      <c r="C19" s="53">
        <f>'Lisa3 RE ja TA võrdlus'!C227+'Lisa3 RE ja TA võrdlus'!C230+'Lisa3 RE ja TA võrdlus'!C233</f>
        <v>-607690702.21000004</v>
      </c>
      <c r="D19" s="53">
        <f>'Lisa3 RE ja TA võrdlus'!C226+'Lisa3 RE ja TA võrdlus'!C229</f>
        <v>0</v>
      </c>
      <c r="E19" s="53">
        <f t="shared" si="2"/>
        <v>-498494534.86000001</v>
      </c>
      <c r="F19" s="53" t="e">
        <f>'RETA aruanne'!#REF!</f>
        <v>#REF!</v>
      </c>
      <c r="G19" s="53" t="e">
        <f>'RETA aruanne'!#REF!+'RETA aruanne'!#REF!</f>
        <v>#REF!</v>
      </c>
      <c r="H19" s="53" t="e">
        <f>'RETA aruanne'!#REF!-'RETA aruanne'!#REF!</f>
        <v>#REF!</v>
      </c>
      <c r="I19" s="53" t="e">
        <f t="shared" si="0"/>
        <v>#REF!</v>
      </c>
      <c r="J19" s="53" t="e">
        <f t="shared" si="1"/>
        <v>#REF!</v>
      </c>
    </row>
    <row r="20" spans="1:10" ht="21.5" x14ac:dyDescent="0.35">
      <c r="A20" s="36" t="s">
        <v>92</v>
      </c>
      <c r="B20" s="53">
        <f>'Lisa3 RE ja TA võrdlus'!C234+'Lisa3 RE ja TA võrdlus'!C235+'Lisa3 RE ja TA võrdlus'!C236+'Lisa3 RE ja TA võrdlus'!C237+'Lisa3 RE ja TA võrdlus'!C238+'Lisa3 RE ja TA võrdlus'!C239+'Lisa3 RE ja TA võrdlus'!C240</f>
        <v>5474678925.210001</v>
      </c>
      <c r="C20" s="53">
        <f>'Lisa3 RE ja TA võrdlus'!C243+'Lisa3 RE ja TA võrdlus'!C246+'Lisa3 RE ja TA võrdlus'!C248</f>
        <v>-7263500329.9200001</v>
      </c>
      <c r="D20" s="53">
        <f>'Lisa3 RE ja TA võrdlus'!C242+'Lisa3 RE ja TA võrdlus'!C245</f>
        <v>7575.63</v>
      </c>
      <c r="E20" s="53">
        <f t="shared" si="2"/>
        <v>-1788813829.079999</v>
      </c>
      <c r="F20" s="53" t="e">
        <f>'RETA aruanne'!#REF!</f>
        <v>#REF!</v>
      </c>
      <c r="G20" s="53" t="e">
        <f>'RETA aruanne'!#REF!+'RETA aruanne'!#REF!</f>
        <v>#REF!</v>
      </c>
      <c r="H20" s="53" t="e">
        <f>'RETA aruanne'!#REF!</f>
        <v>#REF!</v>
      </c>
      <c r="I20" s="53" t="e">
        <f t="shared" si="0"/>
        <v>#REF!</v>
      </c>
      <c r="J20" s="53" t="e">
        <f t="shared" si="1"/>
        <v>#REF!</v>
      </c>
    </row>
    <row r="21" spans="1:10" ht="21.5" x14ac:dyDescent="0.35">
      <c r="A21" s="36" t="s">
        <v>93</v>
      </c>
      <c r="B21" s="53">
        <f>'Lisa3 RE ja TA võrdlus'!C250+'Lisa3 RE ja TA võrdlus'!C251+'Lisa3 RE ja TA võrdlus'!C252+'Lisa3 RE ja TA võrdlus'!C253+'Lisa3 RE ja TA võrdlus'!C254+'Lisa3 RE ja TA võrdlus'!C255</f>
        <v>14649794.790000001</v>
      </c>
      <c r="C21" s="53">
        <f>'Lisa3 RE ja TA võrdlus'!C257+'Lisa3 RE ja TA võrdlus'!C259+'Lisa3 RE ja TA võrdlus'!C262</f>
        <v>-124436946.87</v>
      </c>
      <c r="D21" s="53">
        <f>'Lisa3 RE ja TA võrdlus'!C256+'Lisa3 RE ja TA võrdlus'!C258</f>
        <v>-74365.820000000007</v>
      </c>
      <c r="E21" s="53">
        <f t="shared" si="2"/>
        <v>-109861517.89999999</v>
      </c>
      <c r="F21" s="53" t="e">
        <f>'RETA aruanne'!#REF!</f>
        <v>#REF!</v>
      </c>
      <c r="G21" s="53" t="e">
        <f>'RETA aruanne'!#REF!+'RETA aruanne'!#REF!</f>
        <v>#REF!</v>
      </c>
      <c r="H21" s="53" t="e">
        <f>'RETA aruanne'!#REF!</f>
        <v>#REF!</v>
      </c>
      <c r="I21" s="53" t="e">
        <f t="shared" si="0"/>
        <v>#REF!</v>
      </c>
      <c r="J21" s="53" t="e">
        <f t="shared" si="1"/>
        <v>#REF!</v>
      </c>
    </row>
    <row r="22" spans="1:10" ht="21.5" x14ac:dyDescent="0.35">
      <c r="A22" s="36" t="s">
        <v>767</v>
      </c>
      <c r="B22" s="53">
        <f>B23-SUM(B5:B21)</f>
        <v>-23818223188.840004</v>
      </c>
      <c r="C22" s="53">
        <f t="shared" ref="C22:J22" si="3">C23-SUM(C5:C21)</f>
        <v>23574168968.34</v>
      </c>
      <c r="D22" s="53">
        <f t="shared" si="3"/>
        <v>-48842017.700000018</v>
      </c>
      <c r="E22" s="53">
        <f t="shared" si="2"/>
        <v>-292896238.20000386</v>
      </c>
      <c r="F22" s="53" t="e">
        <f t="shared" si="3"/>
        <v>#REF!</v>
      </c>
      <c r="G22" s="53" t="e">
        <f t="shared" si="3"/>
        <v>#REF!</v>
      </c>
      <c r="H22" s="53" t="e">
        <f t="shared" si="3"/>
        <v>#REF!</v>
      </c>
      <c r="I22" s="53" t="e">
        <f t="shared" si="3"/>
        <v>#REF!</v>
      </c>
      <c r="J22" s="53" t="e">
        <f t="shared" si="3"/>
        <v>#REF!</v>
      </c>
    </row>
    <row r="23" spans="1:10" x14ac:dyDescent="0.35">
      <c r="A23" s="41" t="s">
        <v>79</v>
      </c>
      <c r="B23" s="53">
        <f>aavordlus!D21-aavordlus!D18-aavordlus!D19-aavordlus!D20</f>
        <v>0</v>
      </c>
      <c r="C23" s="53">
        <f>aavordlus!D35-aavordlus!D34-aavordlus!D33</f>
        <v>0</v>
      </c>
      <c r="D23" s="53">
        <f>aavordlus!D18+aavordlus!D19+aavordlus!D20+aavordlus!D33+aavordlus!D34</f>
        <v>0</v>
      </c>
      <c r="E23" s="53">
        <f t="shared" si="2"/>
        <v>0</v>
      </c>
      <c r="F23" s="53" t="e">
        <f>'RETA aruanne'!#REF!</f>
        <v>#REF!</v>
      </c>
      <c r="G23" s="53" t="e">
        <f>'RETA aruanne'!#REF!</f>
        <v>#REF!</v>
      </c>
      <c r="H23" s="53" t="e">
        <f>'RETA aruanne'!#REF!+'RETA aruanne'!#REF!</f>
        <v>#REF!</v>
      </c>
      <c r="I23" s="53" t="e">
        <f t="shared" si="0"/>
        <v>#REF!</v>
      </c>
      <c r="J23" s="53" t="e">
        <f t="shared" si="1"/>
        <v>#REF!</v>
      </c>
    </row>
    <row r="24" spans="1:10" x14ac:dyDescent="0.35">
      <c r="A24" s="231" t="s">
        <v>861</v>
      </c>
      <c r="B24" s="26"/>
      <c r="C24" s="26"/>
      <c r="D24" s="26"/>
      <c r="E24" s="26"/>
      <c r="F24" s="26"/>
      <c r="G24" s="26"/>
      <c r="H24" s="26"/>
      <c r="I24" s="26"/>
      <c r="J24" s="26"/>
    </row>
    <row r="25" spans="1:10" x14ac:dyDescent="0.35">
      <c r="B25" s="26"/>
      <c r="C25" s="26"/>
      <c r="D25" s="26"/>
      <c r="E25" s="26"/>
      <c r="F25" s="26"/>
      <c r="G25" s="26"/>
      <c r="H25" s="26"/>
      <c r="I25" s="26"/>
      <c r="J25" s="26"/>
    </row>
    <row r="26" spans="1:10" x14ac:dyDescent="0.35">
      <c r="A26" s="139"/>
      <c r="B26" s="291" t="s">
        <v>765</v>
      </c>
      <c r="C26" s="292"/>
      <c r="D26" s="292"/>
      <c r="E26" s="293"/>
      <c r="F26" s="294" t="s">
        <v>766</v>
      </c>
      <c r="G26" s="295"/>
      <c r="H26" s="295"/>
      <c r="I26" s="296"/>
      <c r="J26" s="194" t="s">
        <v>795</v>
      </c>
    </row>
    <row r="27" spans="1:10" x14ac:dyDescent="0.35">
      <c r="A27" s="140"/>
      <c r="B27" s="141" t="s">
        <v>40</v>
      </c>
      <c r="C27" s="141" t="s">
        <v>768</v>
      </c>
      <c r="D27" s="141" t="s">
        <v>792</v>
      </c>
      <c r="E27" s="141" t="s">
        <v>793</v>
      </c>
      <c r="F27" s="141" t="s">
        <v>94</v>
      </c>
      <c r="G27" s="141" t="s">
        <v>24</v>
      </c>
      <c r="H27" s="141" t="s">
        <v>798</v>
      </c>
      <c r="I27" s="141" t="s">
        <v>793</v>
      </c>
      <c r="J27" s="141"/>
    </row>
    <row r="28" spans="1:10" x14ac:dyDescent="0.35">
      <c r="A28" s="37" t="s">
        <v>83</v>
      </c>
      <c r="B28" s="38">
        <f t="shared" ref="B28:G28" si="4">ROUND(B5/1000,0)</f>
        <v>67</v>
      </c>
      <c r="C28" s="38">
        <f t="shared" si="4"/>
        <v>-32798</v>
      </c>
      <c r="D28" s="38">
        <f t="shared" si="4"/>
        <v>-98</v>
      </c>
      <c r="E28" s="38">
        <f t="shared" ref="E28:F28" si="5">ROUND(E5/1000,0)</f>
        <v>-32828</v>
      </c>
      <c r="F28" s="38" t="e">
        <f t="shared" si="5"/>
        <v>#REF!</v>
      </c>
      <c r="G28" s="38" t="e">
        <f t="shared" si="4"/>
        <v>#REF!</v>
      </c>
      <c r="H28" s="38" t="e">
        <f t="shared" ref="H28:I28" si="6">ROUND(H5/1000,0)</f>
        <v>#REF!</v>
      </c>
      <c r="I28" s="38" t="e">
        <f t="shared" si="6"/>
        <v>#REF!</v>
      </c>
      <c r="J28" s="38" t="e">
        <f t="shared" ref="J28" si="7">ROUND(J5/1000,0)</f>
        <v>#REF!</v>
      </c>
    </row>
    <row r="29" spans="1:10" ht="22" x14ac:dyDescent="0.35">
      <c r="A29" s="37" t="s">
        <v>84</v>
      </c>
      <c r="B29" s="38">
        <f t="shared" ref="B29:G29" si="8">ROUND(B6/1000,0)</f>
        <v>46</v>
      </c>
      <c r="C29" s="38">
        <f t="shared" si="8"/>
        <v>-6699</v>
      </c>
      <c r="D29" s="38">
        <f t="shared" si="8"/>
        <v>-328</v>
      </c>
      <c r="E29" s="38">
        <f t="shared" ref="E29:F29" si="9">ROUND(E6/1000,0)</f>
        <v>-6982</v>
      </c>
      <c r="F29" s="38" t="e">
        <f t="shared" si="9"/>
        <v>#REF!</v>
      </c>
      <c r="G29" s="38" t="e">
        <f t="shared" si="8"/>
        <v>#REF!</v>
      </c>
      <c r="H29" s="38" t="e">
        <f t="shared" ref="H29:I29" si="10">ROUND(H6/1000,0)</f>
        <v>#REF!</v>
      </c>
      <c r="I29" s="38" t="e">
        <f t="shared" si="10"/>
        <v>#REF!</v>
      </c>
      <c r="J29" s="38" t="e">
        <f t="shared" ref="J29" si="11">ROUND(J6/1000,0)</f>
        <v>#REF!</v>
      </c>
    </row>
    <row r="30" spans="1:10" x14ac:dyDescent="0.35">
      <c r="A30" s="37" t="s">
        <v>44</v>
      </c>
      <c r="B30" s="38">
        <f t="shared" ref="B30:G30" si="12">ROUND(B7/1000,0)</f>
        <v>0</v>
      </c>
      <c r="C30" s="38">
        <f t="shared" si="12"/>
        <v>-5918</v>
      </c>
      <c r="D30" s="38">
        <f t="shared" si="12"/>
        <v>-2</v>
      </c>
      <c r="E30" s="38">
        <f t="shared" ref="E30:F30" si="13">ROUND(E7/1000,0)</f>
        <v>-5920</v>
      </c>
      <c r="F30" s="38" t="e">
        <f t="shared" si="13"/>
        <v>#REF!</v>
      </c>
      <c r="G30" s="38" t="e">
        <f t="shared" si="12"/>
        <v>#REF!</v>
      </c>
      <c r="H30" s="38" t="e">
        <f t="shared" ref="H30:I30" si="14">ROUND(H7/1000,0)</f>
        <v>#REF!</v>
      </c>
      <c r="I30" s="38" t="e">
        <f t="shared" si="14"/>
        <v>#REF!</v>
      </c>
      <c r="J30" s="38" t="e">
        <f t="shared" ref="J30" si="15">ROUND(J7/1000,0)</f>
        <v>#REF!</v>
      </c>
    </row>
    <row r="31" spans="1:10" ht="22" x14ac:dyDescent="0.35">
      <c r="A31" s="37" t="s">
        <v>45</v>
      </c>
      <c r="B31" s="38">
        <f t="shared" ref="B31:G31" si="16">ROUND(B8/1000,0)</f>
        <v>13</v>
      </c>
      <c r="C31" s="38">
        <f t="shared" si="16"/>
        <v>-3433</v>
      </c>
      <c r="D31" s="38">
        <f t="shared" si="16"/>
        <v>-2</v>
      </c>
      <c r="E31" s="38">
        <f t="shared" ref="E31:F31" si="17">ROUND(E8/1000,0)</f>
        <v>-3422</v>
      </c>
      <c r="F31" s="38" t="e">
        <f t="shared" si="17"/>
        <v>#REF!</v>
      </c>
      <c r="G31" s="38" t="e">
        <f t="shared" si="16"/>
        <v>#REF!</v>
      </c>
      <c r="H31" s="38" t="e">
        <f t="shared" ref="H31:I31" si="18">ROUND(H8/1000,0)</f>
        <v>#REF!</v>
      </c>
      <c r="I31" s="38" t="e">
        <f t="shared" si="18"/>
        <v>#REF!</v>
      </c>
      <c r="J31" s="38" t="e">
        <f t="shared" ref="J31" si="19">ROUND(J8/1000,0)</f>
        <v>#REF!</v>
      </c>
    </row>
    <row r="32" spans="1:10" x14ac:dyDescent="0.35">
      <c r="A32" t="s">
        <v>46</v>
      </c>
      <c r="B32" s="38">
        <f t="shared" ref="B32:G32" si="20">ROUND(B9/1000,0)</f>
        <v>408</v>
      </c>
      <c r="C32" s="38">
        <f t="shared" si="20"/>
        <v>-7034</v>
      </c>
      <c r="D32" s="38">
        <f t="shared" si="20"/>
        <v>-462</v>
      </c>
      <c r="E32" s="38">
        <f t="shared" ref="E32:F32" si="21">ROUND(E9/1000,0)</f>
        <v>-7089</v>
      </c>
      <c r="F32" s="38" t="e">
        <f t="shared" si="21"/>
        <v>#REF!</v>
      </c>
      <c r="G32" s="38" t="e">
        <f t="shared" si="20"/>
        <v>#REF!</v>
      </c>
      <c r="H32" s="38" t="e">
        <f t="shared" ref="H32:I32" si="22">ROUND(H9/1000,0)</f>
        <v>#REF!</v>
      </c>
      <c r="I32" s="38" t="e">
        <f t="shared" si="22"/>
        <v>#REF!</v>
      </c>
      <c r="J32" s="38" t="e">
        <f t="shared" ref="J32" si="23">ROUND(J9/1000,0)</f>
        <v>#REF!</v>
      </c>
    </row>
    <row r="33" spans="1:10" ht="22" x14ac:dyDescent="0.35">
      <c r="A33" s="37" t="s">
        <v>47</v>
      </c>
      <c r="B33" s="38">
        <f t="shared" ref="B33:G33" si="24">ROUND(B10/1000,0)</f>
        <v>4853</v>
      </c>
      <c r="C33" s="38">
        <f t="shared" si="24"/>
        <v>-26649</v>
      </c>
      <c r="D33" s="38">
        <f t="shared" si="24"/>
        <v>-3</v>
      </c>
      <c r="E33" s="38">
        <f t="shared" ref="E33:F33" si="25">ROUND(E10/1000,0)</f>
        <v>-21799</v>
      </c>
      <c r="F33" s="38" t="e">
        <f t="shared" si="25"/>
        <v>#REF!</v>
      </c>
      <c r="G33" s="38" t="e">
        <f t="shared" si="24"/>
        <v>#REF!</v>
      </c>
      <c r="H33" s="38" t="e">
        <f t="shared" ref="H33:I33" si="26">ROUND(H10/1000,0)</f>
        <v>#REF!</v>
      </c>
      <c r="I33" s="38" t="e">
        <f t="shared" si="26"/>
        <v>#REF!</v>
      </c>
      <c r="J33" s="38" t="e">
        <f t="shared" ref="J33" si="27">ROUND(J10/1000,0)</f>
        <v>#REF!</v>
      </c>
    </row>
    <row r="34" spans="1:10" ht="32.5" x14ac:dyDescent="0.35">
      <c r="A34" s="37" t="s">
        <v>85</v>
      </c>
      <c r="B34" s="38">
        <f t="shared" ref="B34:G34" si="28">ROUND(B11/1000,0)</f>
        <v>133958</v>
      </c>
      <c r="C34" s="38">
        <f t="shared" si="28"/>
        <v>-1090415</v>
      </c>
      <c r="D34" s="38">
        <f t="shared" si="28"/>
        <v>0</v>
      </c>
      <c r="E34" s="38">
        <f t="shared" ref="E34:F34" si="29">ROUND(E11/1000,0)</f>
        <v>-956457</v>
      </c>
      <c r="F34" s="38" t="e">
        <f t="shared" si="29"/>
        <v>#REF!</v>
      </c>
      <c r="G34" s="38" t="e">
        <f t="shared" si="28"/>
        <v>#REF!</v>
      </c>
      <c r="H34" s="38" t="e">
        <f t="shared" ref="H34:I34" si="30">ROUND(H11/1000,0)</f>
        <v>#REF!</v>
      </c>
      <c r="I34" s="38" t="e">
        <f t="shared" si="30"/>
        <v>#REF!</v>
      </c>
      <c r="J34" s="38" t="e">
        <f t="shared" ref="J34" si="31">ROUND(J11/1000,0)</f>
        <v>#REF!</v>
      </c>
    </row>
    <row r="35" spans="1:10" ht="22" x14ac:dyDescent="0.35">
      <c r="A35" s="37" t="s">
        <v>86</v>
      </c>
      <c r="B35" s="38">
        <f t="shared" ref="B35:G35" si="32">ROUND(B12/1000,0)</f>
        <v>103198</v>
      </c>
      <c r="C35" s="38">
        <f t="shared" si="32"/>
        <v>-359118</v>
      </c>
      <c r="D35" s="38">
        <f t="shared" si="32"/>
        <v>-5223</v>
      </c>
      <c r="E35" s="38">
        <f t="shared" ref="E35:F35" si="33">ROUND(E12/1000,0)</f>
        <v>-261143</v>
      </c>
      <c r="F35" s="38" t="e">
        <f t="shared" si="33"/>
        <v>#REF!</v>
      </c>
      <c r="G35" s="38" t="e">
        <f t="shared" si="32"/>
        <v>#REF!</v>
      </c>
      <c r="H35" s="38" t="e">
        <f t="shared" ref="H35:I35" si="34">ROUND(H12/1000,0)</f>
        <v>#REF!</v>
      </c>
      <c r="I35" s="38" t="e">
        <f t="shared" si="34"/>
        <v>#REF!</v>
      </c>
      <c r="J35" s="38" t="e">
        <f t="shared" ref="J35" si="35">ROUND(J12/1000,0)</f>
        <v>#REF!</v>
      </c>
    </row>
    <row r="36" spans="1:10" ht="22" x14ac:dyDescent="0.35">
      <c r="A36" s="37" t="s">
        <v>87</v>
      </c>
      <c r="B36" s="38">
        <f t="shared" ref="B36:G36" si="36">ROUND(B13/1000,0)</f>
        <v>484222</v>
      </c>
      <c r="C36" s="38">
        <f t="shared" si="36"/>
        <v>-1465584</v>
      </c>
      <c r="D36" s="38">
        <f t="shared" si="36"/>
        <v>674</v>
      </c>
      <c r="E36" s="38">
        <f t="shared" ref="E36:F36" si="37">ROUND(E13/1000,0)</f>
        <v>-980687</v>
      </c>
      <c r="F36" s="38" t="e">
        <f t="shared" si="37"/>
        <v>#REF!</v>
      </c>
      <c r="G36" s="38" t="e">
        <f t="shared" si="36"/>
        <v>#REF!</v>
      </c>
      <c r="H36" s="38" t="e">
        <f t="shared" ref="H36:I36" si="38">ROUND(H13/1000,0)</f>
        <v>#REF!</v>
      </c>
      <c r="I36" s="38" t="e">
        <f t="shared" si="38"/>
        <v>#REF!</v>
      </c>
      <c r="J36" s="38" t="e">
        <f t="shared" ref="J36" si="39">ROUND(J13/1000,0)</f>
        <v>#REF!</v>
      </c>
    </row>
    <row r="37" spans="1:10" ht="22" x14ac:dyDescent="0.35">
      <c r="A37" s="37" t="s">
        <v>878</v>
      </c>
      <c r="B37" s="38">
        <f t="shared" ref="B37:G37" si="40">ROUND(B14/1000,0)</f>
        <v>938911</v>
      </c>
      <c r="C37" s="38">
        <f t="shared" si="40"/>
        <v>-1073051</v>
      </c>
      <c r="D37" s="38">
        <f t="shared" si="40"/>
        <v>73705</v>
      </c>
      <c r="E37" s="38">
        <f t="shared" ref="E37:F37" si="41">ROUND(E14/1000,0)</f>
        <v>-60435</v>
      </c>
      <c r="F37" s="38" t="e">
        <f t="shared" si="41"/>
        <v>#REF!</v>
      </c>
      <c r="G37" s="38" t="e">
        <f t="shared" si="40"/>
        <v>#REF!</v>
      </c>
      <c r="H37" s="38" t="e">
        <f t="shared" ref="H37:I37" si="42">ROUND(H14/1000,0)</f>
        <v>#REF!</v>
      </c>
      <c r="I37" s="38" t="e">
        <f t="shared" si="42"/>
        <v>#REF!</v>
      </c>
      <c r="J37" s="38" t="e">
        <f t="shared" ref="J37" si="43">ROUND(J14/1000,0)</f>
        <v>#REF!</v>
      </c>
    </row>
    <row r="38" spans="1:10" ht="22" x14ac:dyDescent="0.35">
      <c r="A38" s="37" t="s">
        <v>88</v>
      </c>
      <c r="B38" s="38">
        <f t="shared" ref="B38:G38" si="44">ROUND(B15/1000,0)</f>
        <v>66428</v>
      </c>
      <c r="C38" s="38">
        <f t="shared" si="44"/>
        <v>-363349</v>
      </c>
      <c r="D38" s="38">
        <f t="shared" si="44"/>
        <v>-2036</v>
      </c>
      <c r="E38" s="38">
        <f t="shared" ref="E38:F38" si="45">ROUND(E15/1000,0)</f>
        <v>-298958</v>
      </c>
      <c r="F38" s="38">
        <f t="shared" si="45"/>
        <v>17760</v>
      </c>
      <c r="G38" s="38">
        <f t="shared" si="44"/>
        <v>-362644</v>
      </c>
      <c r="H38" s="38">
        <f t="shared" ref="H38:I38" si="46">ROUND(H15/1000,0)</f>
        <v>45926</v>
      </c>
      <c r="I38" s="38">
        <f t="shared" si="46"/>
        <v>-298958</v>
      </c>
      <c r="J38" s="38">
        <f t="shared" ref="J38" si="47">ROUND(J15/1000,0)</f>
        <v>0</v>
      </c>
    </row>
    <row r="39" spans="1:10" ht="53.5" x14ac:dyDescent="0.35">
      <c r="A39" s="37" t="s">
        <v>89</v>
      </c>
      <c r="B39" s="38">
        <f t="shared" ref="B39:G39" si="48">ROUND(B16/1000,0)</f>
        <v>482053</v>
      </c>
      <c r="C39" s="38">
        <f t="shared" si="48"/>
        <v>-1217067</v>
      </c>
      <c r="D39" s="38">
        <f t="shared" si="48"/>
        <v>13100</v>
      </c>
      <c r="E39" s="38">
        <f t="shared" ref="E39:F39" si="49">ROUND(E16/1000,0)</f>
        <v>-721914</v>
      </c>
      <c r="F39" s="38" t="e">
        <f t="shared" si="49"/>
        <v>#REF!</v>
      </c>
      <c r="G39" s="38" t="e">
        <f t="shared" si="48"/>
        <v>#REF!</v>
      </c>
      <c r="H39" s="38" t="e">
        <f t="shared" ref="H39:I39" si="50">ROUND(H16/1000,0)</f>
        <v>#REF!</v>
      </c>
      <c r="I39" s="38" t="e">
        <f t="shared" si="50"/>
        <v>#REF!</v>
      </c>
      <c r="J39" s="38" t="e">
        <f t="shared" ref="J39" si="51">ROUND(J16/1000,0)</f>
        <v>#REF!</v>
      </c>
    </row>
    <row r="40" spans="1:10" ht="53.5" x14ac:dyDescent="0.35">
      <c r="A40" s="37" t="s">
        <v>879</v>
      </c>
      <c r="B40" s="38">
        <f t="shared" ref="B40:G40" si="52">ROUND(B17/1000,0)</f>
        <v>469790</v>
      </c>
      <c r="C40" s="38">
        <f t="shared" si="52"/>
        <v>-1507067</v>
      </c>
      <c r="D40" s="38">
        <f t="shared" si="52"/>
        <v>7146</v>
      </c>
      <c r="E40" s="38">
        <f t="shared" ref="E40:F40" si="53">ROUND(E17/1000,0)</f>
        <v>-1030131</v>
      </c>
      <c r="F40" s="38" t="e">
        <f t="shared" si="53"/>
        <v>#REF!</v>
      </c>
      <c r="G40" s="38" t="e">
        <f t="shared" si="52"/>
        <v>#REF!</v>
      </c>
      <c r="H40" s="38" t="e">
        <f t="shared" ref="H40:I40" si="54">ROUND(H17/1000,0)</f>
        <v>#REF!</v>
      </c>
      <c r="I40" s="38" t="e">
        <f t="shared" si="54"/>
        <v>#REF!</v>
      </c>
      <c r="J40" s="38" t="e">
        <f t="shared" ref="J40" si="55">ROUND(J17/1000,0)</f>
        <v>#REF!</v>
      </c>
    </row>
    <row r="41" spans="1:10" ht="22" x14ac:dyDescent="0.35">
      <c r="A41" s="37" t="s">
        <v>90</v>
      </c>
      <c r="B41" s="38">
        <f t="shared" ref="B41:G41" si="56">ROUND(B18/1000,0)</f>
        <v>15535752</v>
      </c>
      <c r="C41" s="38">
        <f t="shared" si="56"/>
        <v>-8420358</v>
      </c>
      <c r="D41" s="38">
        <f t="shared" si="56"/>
        <v>-37562</v>
      </c>
      <c r="E41" s="38">
        <f t="shared" ref="E41:F41" si="57">ROUND(E18/1000,0)</f>
        <v>7077831</v>
      </c>
      <c r="F41" s="38" t="e">
        <f t="shared" si="57"/>
        <v>#REF!</v>
      </c>
      <c r="G41" s="38" t="e">
        <f t="shared" si="56"/>
        <v>#REF!</v>
      </c>
      <c r="H41" s="38" t="e">
        <f t="shared" ref="H41:I41" si="58">ROUND(H18/1000,0)</f>
        <v>#REF!</v>
      </c>
      <c r="I41" s="38" t="e">
        <f t="shared" si="58"/>
        <v>#REF!</v>
      </c>
      <c r="J41" s="38" t="e">
        <f t="shared" ref="J41" si="59">ROUND(J18/1000,0)</f>
        <v>#REF!</v>
      </c>
    </row>
    <row r="42" spans="1:10" ht="22" x14ac:dyDescent="0.35">
      <c r="A42" s="37" t="s">
        <v>91</v>
      </c>
      <c r="B42" s="38">
        <f t="shared" ref="B42:G42" si="60">ROUND(B19/1000,0)</f>
        <v>109196</v>
      </c>
      <c r="C42" s="38">
        <f t="shared" si="60"/>
        <v>-607691</v>
      </c>
      <c r="D42" s="38">
        <f t="shared" si="60"/>
        <v>0</v>
      </c>
      <c r="E42" s="38">
        <f t="shared" ref="E42:F42" si="61">ROUND(E19/1000,0)</f>
        <v>-498495</v>
      </c>
      <c r="F42" s="38" t="e">
        <f t="shared" si="61"/>
        <v>#REF!</v>
      </c>
      <c r="G42" s="38" t="e">
        <f t="shared" si="60"/>
        <v>#REF!</v>
      </c>
      <c r="H42" s="38" t="e">
        <f t="shared" ref="H42:I42" si="62">ROUND(H19/1000,0)</f>
        <v>#REF!</v>
      </c>
      <c r="I42" s="38" t="e">
        <f t="shared" si="62"/>
        <v>#REF!</v>
      </c>
      <c r="J42" s="38" t="e">
        <f t="shared" ref="J42" si="63">ROUND(J19/1000,0)</f>
        <v>#REF!</v>
      </c>
    </row>
    <row r="43" spans="1:10" ht="22" x14ac:dyDescent="0.35">
      <c r="A43" s="37" t="s">
        <v>92</v>
      </c>
      <c r="B43" s="38">
        <f t="shared" ref="B43:G43" si="64">ROUND(B20/1000,0)</f>
        <v>5474679</v>
      </c>
      <c r="C43" s="38">
        <f t="shared" si="64"/>
        <v>-7263500</v>
      </c>
      <c r="D43" s="38">
        <f t="shared" si="64"/>
        <v>8</v>
      </c>
      <c r="E43" s="38">
        <f t="shared" ref="E43:F43" si="65">ROUND(E20/1000,0)</f>
        <v>-1788814</v>
      </c>
      <c r="F43" s="38" t="e">
        <f t="shared" si="65"/>
        <v>#REF!</v>
      </c>
      <c r="G43" s="38" t="e">
        <f t="shared" si="64"/>
        <v>#REF!</v>
      </c>
      <c r="H43" s="38" t="e">
        <f t="shared" ref="H43:I43" si="66">ROUND(H20/1000,0)</f>
        <v>#REF!</v>
      </c>
      <c r="I43" s="38" t="e">
        <f t="shared" si="66"/>
        <v>#REF!</v>
      </c>
      <c r="J43" s="38" t="e">
        <f t="shared" ref="J43" si="67">ROUND(J20/1000,0)</f>
        <v>#REF!</v>
      </c>
    </row>
    <row r="44" spans="1:10" ht="22" x14ac:dyDescent="0.35">
      <c r="A44" s="37" t="s">
        <v>93</v>
      </c>
      <c r="B44" s="38">
        <f t="shared" ref="B44:G44" si="68">ROUND(B21/1000,0)</f>
        <v>14650</v>
      </c>
      <c r="C44" s="38">
        <f t="shared" si="68"/>
        <v>-124437</v>
      </c>
      <c r="D44" s="38">
        <f t="shared" si="68"/>
        <v>-74</v>
      </c>
      <c r="E44" s="38">
        <f t="shared" ref="E44:F44" si="69">ROUND(E21/1000,0)</f>
        <v>-109862</v>
      </c>
      <c r="F44" s="38" t="e">
        <f t="shared" si="69"/>
        <v>#REF!</v>
      </c>
      <c r="G44" s="38" t="e">
        <f t="shared" si="68"/>
        <v>#REF!</v>
      </c>
      <c r="H44" s="38" t="e">
        <f t="shared" ref="H44:I44" si="70">ROUND(H21/1000,0)</f>
        <v>#REF!</v>
      </c>
      <c r="I44" s="38" t="e">
        <f t="shared" si="70"/>
        <v>#REF!</v>
      </c>
      <c r="J44" s="38" t="e">
        <f t="shared" ref="J44" si="71">ROUND(J21/1000,0)</f>
        <v>#REF!</v>
      </c>
    </row>
    <row r="45" spans="1:10" ht="22" x14ac:dyDescent="0.35">
      <c r="A45" s="37" t="s">
        <v>767</v>
      </c>
      <c r="B45" s="38">
        <f t="shared" ref="B45:G45" si="72">ROUND(B22/1000,0)</f>
        <v>-23818223</v>
      </c>
      <c r="C45" s="38">
        <f t="shared" si="72"/>
        <v>23574169</v>
      </c>
      <c r="D45" s="38">
        <f t="shared" si="72"/>
        <v>-48842</v>
      </c>
      <c r="E45" s="38">
        <f t="shared" ref="E45:F45" si="73">ROUND(E22/1000,0)</f>
        <v>-292896</v>
      </c>
      <c r="F45" s="38" t="e">
        <f t="shared" si="73"/>
        <v>#REF!</v>
      </c>
      <c r="G45" s="38" t="e">
        <f t="shared" si="72"/>
        <v>#REF!</v>
      </c>
      <c r="H45" s="38" t="e">
        <f t="shared" ref="H45:I45" si="74">ROUND(H22/1000,0)</f>
        <v>#REF!</v>
      </c>
      <c r="I45" s="38" t="e">
        <f t="shared" si="74"/>
        <v>#REF!</v>
      </c>
      <c r="J45" s="38" t="e">
        <f t="shared" ref="J45" si="75">ROUND(J22/1000,0)</f>
        <v>#REF!</v>
      </c>
    </row>
    <row r="46" spans="1:10" x14ac:dyDescent="0.35">
      <c r="A46" s="43" t="s">
        <v>79</v>
      </c>
      <c r="B46" s="44">
        <f t="shared" ref="B46:G46" si="76">ROUND(B23/1000,0)</f>
        <v>0</v>
      </c>
      <c r="C46" s="44">
        <f t="shared" si="76"/>
        <v>0</v>
      </c>
      <c r="D46" s="44">
        <f t="shared" si="76"/>
        <v>0</v>
      </c>
      <c r="E46" s="44">
        <f t="shared" ref="E46:F46" si="77">ROUND(E23/1000,0)</f>
        <v>0</v>
      </c>
      <c r="F46" s="44" t="e">
        <f t="shared" si="77"/>
        <v>#REF!</v>
      </c>
      <c r="G46" s="44" t="e">
        <f t="shared" si="76"/>
        <v>#REF!</v>
      </c>
      <c r="H46" s="44" t="e">
        <f t="shared" ref="H46:I46" si="78">ROUND(H23/1000,0)</f>
        <v>#REF!</v>
      </c>
      <c r="I46" s="44" t="e">
        <f t="shared" si="78"/>
        <v>#REF!</v>
      </c>
      <c r="J46" s="44" t="e">
        <f t="shared" ref="J46" si="79">ROUND(J23/1000,0)</f>
        <v>#REF!</v>
      </c>
    </row>
    <row r="47" spans="1:10" x14ac:dyDescent="0.35">
      <c r="B47" s="26"/>
      <c r="C47" s="26"/>
      <c r="D47" s="26"/>
      <c r="E47" s="26"/>
      <c r="F47" s="26"/>
      <c r="G47" s="26"/>
      <c r="H47" s="26"/>
      <c r="I47" s="26"/>
      <c r="J47" s="26"/>
    </row>
    <row r="48" spans="1:10" x14ac:dyDescent="0.35">
      <c r="B48" s="26"/>
      <c r="C48" s="26"/>
      <c r="D48" s="26"/>
      <c r="E48" s="26"/>
      <c r="F48" s="26"/>
      <c r="G48" s="26"/>
      <c r="H48" s="26"/>
      <c r="I48" s="26"/>
      <c r="J48" s="26"/>
    </row>
    <row r="49" spans="1:10" x14ac:dyDescent="0.35">
      <c r="B49" s="26"/>
      <c r="C49" s="26"/>
      <c r="D49" s="26"/>
      <c r="E49" s="26"/>
      <c r="F49" s="26"/>
      <c r="G49" s="26"/>
      <c r="H49" s="26"/>
      <c r="I49" s="26"/>
      <c r="J49" s="26"/>
    </row>
    <row r="50" spans="1:10" x14ac:dyDescent="0.35">
      <c r="A50" t="s">
        <v>915</v>
      </c>
      <c r="B50" s="26"/>
      <c r="C50" s="26"/>
      <c r="D50" s="26"/>
      <c r="E50" s="26"/>
      <c r="F50" s="26"/>
      <c r="G50" s="26"/>
      <c r="H50" s="26"/>
      <c r="I50" s="26"/>
      <c r="J50" s="26"/>
    </row>
    <row r="51" spans="1:10" x14ac:dyDescent="0.35">
      <c r="B51" s="26"/>
      <c r="C51" s="26"/>
      <c r="D51" s="26"/>
      <c r="E51" s="26"/>
      <c r="F51" s="26"/>
      <c r="G51" s="26"/>
      <c r="H51" s="26"/>
      <c r="I51" s="26"/>
      <c r="J51" s="26"/>
    </row>
    <row r="52" spans="1:10" x14ac:dyDescent="0.35">
      <c r="A52" s="139"/>
      <c r="B52" s="291" t="s">
        <v>765</v>
      </c>
      <c r="C52" s="292"/>
      <c r="D52" s="292"/>
      <c r="E52" s="293"/>
      <c r="F52" s="294" t="s">
        <v>766</v>
      </c>
      <c r="G52" s="295"/>
      <c r="H52" s="295"/>
      <c r="I52" s="296"/>
      <c r="J52" s="194" t="s">
        <v>795</v>
      </c>
    </row>
    <row r="53" spans="1:10" x14ac:dyDescent="0.35">
      <c r="A53" s="140"/>
      <c r="B53" s="141" t="s">
        <v>40</v>
      </c>
      <c r="C53" s="141" t="s">
        <v>768</v>
      </c>
      <c r="D53" s="141" t="s">
        <v>792</v>
      </c>
      <c r="E53" s="141" t="s">
        <v>793</v>
      </c>
      <c r="F53" s="141" t="s">
        <v>94</v>
      </c>
      <c r="G53" s="141" t="s">
        <v>24</v>
      </c>
      <c r="H53" s="141" t="s">
        <v>798</v>
      </c>
      <c r="I53" s="141" t="s">
        <v>793</v>
      </c>
      <c r="J53" s="141"/>
    </row>
    <row r="54" spans="1:10" x14ac:dyDescent="0.35">
      <c r="A54" s="36" t="s">
        <v>83</v>
      </c>
      <c r="B54" s="53">
        <f>'Lisa3 RE ja TA võrdlus'!G5+'Lisa3 RE ja TA võrdlus'!G6+'Lisa3 RE ja TA võrdlus'!G7+'Lisa3 RE ja TA võrdlus'!G8</f>
        <v>158211.29999999999</v>
      </c>
      <c r="C54" s="53">
        <f>'Lisa3 RE ja TA võrdlus'!G10+'Lisa3 RE ja TA võrdlus'!G11+'Lisa3 RE ja TA võrdlus'!G14</f>
        <v>-32923290.66</v>
      </c>
      <c r="D54" s="53">
        <f>'Lisa3 RE ja TA võrdlus'!G9+'Lisa3 RE ja TA võrdlus'!G12</f>
        <v>-96105.19</v>
      </c>
      <c r="E54" s="53">
        <f>SUM(B54:D54)</f>
        <v>-32861184.550000001</v>
      </c>
      <c r="F54" s="53" t="e">
        <f>'RETA aruanne'!#REF!</f>
        <v>#REF!</v>
      </c>
      <c r="G54" s="53" t="e">
        <f>'RETA aruanne'!#REF!+'RETA aruanne'!#REF!</f>
        <v>#REF!</v>
      </c>
      <c r="H54" s="53" t="e">
        <f>'RETA aruanne'!#REF!+'RETA aruanne'!#REF!</f>
        <v>#REF!</v>
      </c>
      <c r="I54" s="53" t="e">
        <f>SUM(F54:H54)</f>
        <v>#REF!</v>
      </c>
      <c r="J54" s="53" t="e">
        <f t="shared" ref="J54:J72" si="80">I54-E54</f>
        <v>#REF!</v>
      </c>
    </row>
    <row r="55" spans="1:10" ht="21.5" x14ac:dyDescent="0.35">
      <c r="A55" s="36" t="s">
        <v>84</v>
      </c>
      <c r="B55" s="53">
        <f>'Lisa3 RE ja TA võrdlus'!G15+'Lisa3 RE ja TA võrdlus'!G16+'Lisa3 RE ja TA võrdlus'!G17</f>
        <v>44278.22</v>
      </c>
      <c r="C55" s="53">
        <f>'Lisa3 RE ja TA võrdlus'!G19+'Lisa3 RE ja TA võrdlus'!G20+'Lisa3 RE ja TA võrdlus'!G23</f>
        <v>-5693293.29</v>
      </c>
      <c r="D55" s="53">
        <f>'Lisa3 RE ja TA võrdlus'!G18+'Lisa3 RE ja TA võrdlus'!G21</f>
        <v>-316114</v>
      </c>
      <c r="E55" s="53">
        <f t="shared" ref="E55:E71" si="81">SUM(B55:D55)</f>
        <v>-5965129.0700000003</v>
      </c>
      <c r="F55" s="53" t="e">
        <f>'RETA aruanne'!#REF!</f>
        <v>#REF!</v>
      </c>
      <c r="G55" s="53" t="e">
        <f>'RETA aruanne'!#REF!+'RETA aruanne'!#REF!</f>
        <v>#REF!</v>
      </c>
      <c r="H55" s="53" t="e">
        <f>'RETA aruanne'!#REF!-'RETA aruanne'!#REF!</f>
        <v>#REF!</v>
      </c>
      <c r="I55" s="53" t="e">
        <f t="shared" ref="I55:I72" si="82">SUM(F55:H55)</f>
        <v>#REF!</v>
      </c>
      <c r="J55" s="53" t="e">
        <f t="shared" si="80"/>
        <v>#REF!</v>
      </c>
    </row>
    <row r="56" spans="1:10" x14ac:dyDescent="0.35">
      <c r="A56" s="36" t="s">
        <v>44</v>
      </c>
      <c r="B56" s="53">
        <f>'Lisa3 RE ja TA võrdlus'!G24+'Lisa3 RE ja TA võrdlus'!G25</f>
        <v>1350</v>
      </c>
      <c r="C56" s="53">
        <f>'Lisa3 RE ja TA võrdlus'!G27+'Lisa3 RE ja TA võrdlus'!G28+'Lisa3 RE ja TA võrdlus'!G31</f>
        <v>-5666192.2000000002</v>
      </c>
      <c r="D56" s="53">
        <f>'Lisa3 RE ja TA võrdlus'!G26+'Lisa3 RE ja TA võrdlus'!G29</f>
        <v>-1252</v>
      </c>
      <c r="E56" s="53">
        <f t="shared" si="81"/>
        <v>-5666094.2000000002</v>
      </c>
      <c r="F56" s="53" t="e">
        <f>'RETA aruanne'!#REF!</f>
        <v>#REF!</v>
      </c>
      <c r="G56" s="53" t="e">
        <f>'RETA aruanne'!#REF!+'RETA aruanne'!#REF!</f>
        <v>#REF!</v>
      </c>
      <c r="H56" s="53" t="e">
        <f>'RETA aruanne'!#REF!</f>
        <v>#REF!</v>
      </c>
      <c r="I56" s="53" t="e">
        <f t="shared" si="82"/>
        <v>#REF!</v>
      </c>
      <c r="J56" s="53" t="e">
        <f t="shared" si="80"/>
        <v>#REF!</v>
      </c>
    </row>
    <row r="57" spans="1:10" ht="21.5" x14ac:dyDescent="0.35">
      <c r="A57" s="36" t="s">
        <v>45</v>
      </c>
      <c r="B57" s="53">
        <f>'Lisa3 RE ja TA võrdlus'!G32</f>
        <v>21623.200000000001</v>
      </c>
      <c r="C57" s="53">
        <f>'Lisa3 RE ja TA võrdlus'!G34+'Lisa3 RE ja TA võrdlus'!G36</f>
        <v>-3387711.28</v>
      </c>
      <c r="D57" s="53">
        <f>'Lisa3 RE ja TA võrdlus'!G33+'Lisa3 RE ja TA võrdlus'!G35</f>
        <v>-1876</v>
      </c>
      <c r="E57" s="53">
        <f t="shared" si="81"/>
        <v>-3367964.0799999996</v>
      </c>
      <c r="F57" s="53" t="e">
        <f>'RETA aruanne'!#REF!</f>
        <v>#REF!</v>
      </c>
      <c r="G57" s="53" t="e">
        <f>'RETA aruanne'!#REF!</f>
        <v>#REF!</v>
      </c>
      <c r="H57" s="53" t="e">
        <f>'RETA aruanne'!#REF!</f>
        <v>#REF!</v>
      </c>
      <c r="I57" s="53" t="e">
        <f t="shared" si="82"/>
        <v>#REF!</v>
      </c>
      <c r="J57" s="53" t="e">
        <f t="shared" si="80"/>
        <v>#REF!</v>
      </c>
    </row>
    <row r="58" spans="1:10" x14ac:dyDescent="0.35">
      <c r="A58" s="36" t="s">
        <v>46</v>
      </c>
      <c r="B58" s="53">
        <f>'Lisa3 RE ja TA võrdlus'!G38+'Lisa3 RE ja TA võrdlus'!G39+'Lisa3 RE ja TA võrdlus'!G40+'Lisa3 RE ja TA võrdlus'!G41+'Lisa3 RE ja TA võrdlus'!G42</f>
        <v>404011.04</v>
      </c>
      <c r="C58" s="53">
        <f>'Lisa3 RE ja TA võrdlus'!G43+'Lisa3 RE ja TA võrdlus'!G45+'Lisa3 RE ja TA võrdlus'!G47</f>
        <v>-6911464.8499999996</v>
      </c>
      <c r="D58" s="53">
        <f>'Lisa3 RE ja TA võrdlus'!G44</f>
        <v>-367307</v>
      </c>
      <c r="E58" s="53">
        <f t="shared" si="81"/>
        <v>-6874760.8099999996</v>
      </c>
      <c r="F58" s="53" t="e">
        <f>'RETA aruanne'!#REF!</f>
        <v>#REF!</v>
      </c>
      <c r="G58" s="53" t="e">
        <f>'RETA aruanne'!#REF!+'RETA aruanne'!#REF!</f>
        <v>#REF!</v>
      </c>
      <c r="H58" s="53" t="e">
        <f>'RETA aruanne'!#REF!</f>
        <v>#REF!</v>
      </c>
      <c r="I58" s="53" t="e">
        <f t="shared" si="82"/>
        <v>#REF!</v>
      </c>
      <c r="J58" s="53" t="e">
        <f t="shared" si="80"/>
        <v>#REF!</v>
      </c>
    </row>
    <row r="59" spans="1:10" ht="21.5" x14ac:dyDescent="0.35">
      <c r="A59" s="36" t="s">
        <v>47</v>
      </c>
      <c r="B59" s="53">
        <f>'Lisa3 RE ja TA võrdlus'!G48+'Lisa3 RE ja TA võrdlus'!G49</f>
        <v>2134371.5299999998</v>
      </c>
      <c r="C59" s="53">
        <f>'Lisa3 RE ja TA võrdlus'!G51+'Lisa3 RE ja TA võrdlus'!G53+'Lisa3 RE ja TA võrdlus'!G56</f>
        <v>-18209063.77</v>
      </c>
      <c r="D59" s="53">
        <f>'Lisa3 RE ja TA võrdlus'!G50+'Lisa3 RE ja TA võrdlus'!G52</f>
        <v>-3382.36</v>
      </c>
      <c r="E59" s="53">
        <f t="shared" si="81"/>
        <v>-16078074.6</v>
      </c>
      <c r="F59" s="53" t="e">
        <f>'RETA aruanne'!#REF!</f>
        <v>#REF!</v>
      </c>
      <c r="G59" s="53" t="e">
        <f>'RETA aruanne'!#REF!+'RETA aruanne'!#REF!</f>
        <v>#REF!</v>
      </c>
      <c r="H59" s="53" t="e">
        <f>'RETA aruanne'!#REF!</f>
        <v>#REF!</v>
      </c>
      <c r="I59" s="53" t="e">
        <f t="shared" si="82"/>
        <v>#REF!</v>
      </c>
      <c r="J59" s="53" t="e">
        <f t="shared" si="80"/>
        <v>#REF!</v>
      </c>
    </row>
    <row r="60" spans="1:10" ht="31.5" x14ac:dyDescent="0.35">
      <c r="A60" s="36" t="s">
        <v>85</v>
      </c>
      <c r="B60" s="53">
        <f>'Lisa3 RE ja TA võrdlus'!G57+'Lisa3 RE ja TA võrdlus'!G58+'Lisa3 RE ja TA võrdlus'!G60+'Lisa3 RE ja TA võrdlus'!G61+'Lisa3 RE ja TA võrdlus'!G62+'Lisa3 RE ja TA võrdlus'!G63</f>
        <v>78787132.590000004</v>
      </c>
      <c r="C60" s="53">
        <f>'Lisa3 RE ja TA võrdlus'!G65+'Lisa3 RE ja TA võrdlus'!G68+'Lisa3 RE ja TA võrdlus'!G71+'Lisa3 RE ja TA võrdlus'!G72</f>
        <v>-1003049115.22</v>
      </c>
      <c r="D60" s="53">
        <f>'Lisa3 RE ja TA võrdlus'!G64+'Lisa3 RE ja TA võrdlus'!G67</f>
        <v>-416.94</v>
      </c>
      <c r="E60" s="53">
        <f t="shared" si="81"/>
        <v>-924262399.57000005</v>
      </c>
      <c r="F60" s="53" t="e">
        <f>'RETA aruanne'!#REF!</f>
        <v>#REF!</v>
      </c>
      <c r="G60" s="53" t="e">
        <f>'RETA aruanne'!#REF!+'RETA aruanne'!#REF!+'RETA aruanne'!#REF!</f>
        <v>#REF!</v>
      </c>
      <c r="H60" s="53" t="e">
        <f>'RETA aruanne'!#REF!-'RETA aruanne'!#REF!</f>
        <v>#REF!</v>
      </c>
      <c r="I60" s="53" t="e">
        <f t="shared" si="82"/>
        <v>#REF!</v>
      </c>
      <c r="J60" s="53" t="e">
        <f t="shared" si="80"/>
        <v>#REF!</v>
      </c>
    </row>
    <row r="61" spans="1:10" ht="21.5" x14ac:dyDescent="0.35">
      <c r="A61" s="36" t="s">
        <v>86</v>
      </c>
      <c r="B61" s="53">
        <f>'Lisa3 RE ja TA võrdlus'!G76+'Lisa3 RE ja TA võrdlus'!G77+'Lisa3 RE ja TA võrdlus'!G78+'Lisa3 RE ja TA võrdlus'!G79+'Lisa3 RE ja TA võrdlus'!G80+'Lisa3 RE ja TA võrdlus'!G81</f>
        <v>52849985.080000006</v>
      </c>
      <c r="C61" s="53">
        <f>'Lisa3 RE ja TA võrdlus'!G84+'Lisa3 RE ja TA võrdlus'!G87+'Lisa3 RE ja TA võrdlus'!G90+'Lisa3 RE ja TA võrdlus'!G93</f>
        <v>-223248946.16</v>
      </c>
      <c r="D61" s="53">
        <f>'Lisa3 RE ja TA võrdlus'!G83+'Lisa3 RE ja TA võrdlus'!G86</f>
        <v>-6149197.4900000002</v>
      </c>
      <c r="E61" s="53">
        <f t="shared" si="81"/>
        <v>-176548158.56999999</v>
      </c>
      <c r="F61" s="53" t="e">
        <f>'RETA aruanne'!#REF!</f>
        <v>#REF!</v>
      </c>
      <c r="G61" s="53" t="e">
        <f>'RETA aruanne'!#REF!+'RETA aruanne'!#REF!+'RETA aruanne'!#REF!</f>
        <v>#REF!</v>
      </c>
      <c r="H61" s="53" t="e">
        <f>'RETA aruanne'!#REF!-'RETA aruanne'!#REF!</f>
        <v>#REF!</v>
      </c>
      <c r="I61" s="53" t="e">
        <f t="shared" si="82"/>
        <v>#REF!</v>
      </c>
      <c r="J61" s="53" t="e">
        <f t="shared" si="80"/>
        <v>#REF!</v>
      </c>
    </row>
    <row r="62" spans="1:10" ht="21.5" x14ac:dyDescent="0.35">
      <c r="A62" s="36" t="s">
        <v>87</v>
      </c>
      <c r="B62" s="53">
        <f>'Lisa3 RE ja TA võrdlus'!G95+'Lisa3 RE ja TA võrdlus'!G96+'Lisa3 RE ja TA võrdlus'!G97+'Lisa3 RE ja TA võrdlus'!G98+'Lisa3 RE ja TA võrdlus'!G99</f>
        <v>189420156.94000003</v>
      </c>
      <c r="C62" s="53">
        <f>'Lisa3 RE ja TA võrdlus'!G102+'Lisa3 RE ja TA võrdlus'!G105+'Lisa3 RE ja TA võrdlus'!G108</f>
        <v>-1160446267.98</v>
      </c>
      <c r="D62" s="53">
        <f>'Lisa3 RE ja TA võrdlus'!G101+'Lisa3 RE ja TA võrdlus'!G104</f>
        <v>-29500856.68</v>
      </c>
      <c r="E62" s="53">
        <f t="shared" si="81"/>
        <v>-1000526967.7199999</v>
      </c>
      <c r="F62" s="53" t="e">
        <f>'RETA aruanne'!#REF!</f>
        <v>#REF!</v>
      </c>
      <c r="G62" s="53" t="e">
        <f>'RETA aruanne'!#REF!+'RETA aruanne'!#REF!</f>
        <v>#REF!</v>
      </c>
      <c r="H62" s="53" t="e">
        <f>'RETA aruanne'!#REF!</f>
        <v>#REF!</v>
      </c>
      <c r="I62" s="53" t="e">
        <f t="shared" si="82"/>
        <v>#REF!</v>
      </c>
      <c r="J62" s="53" t="e">
        <f t="shared" si="80"/>
        <v>#REF!</v>
      </c>
    </row>
    <row r="63" spans="1:10" ht="21.5" x14ac:dyDescent="0.35">
      <c r="A63" s="36" t="s">
        <v>878</v>
      </c>
      <c r="B63" s="53">
        <f>'Lisa3 RE ja TA võrdlus'!G109+'Lisa3 RE ja TA võrdlus'!G110+'Lisa3 RE ja TA võrdlus'!G111+'Lisa3 RE ja TA võrdlus'!G112+'Lisa3 RE ja TA võrdlus'!G113+'Lisa3 RE ja TA võrdlus'!G114+'Lisa3 RE ja TA võrdlus'!G115</f>
        <v>838706527.72000003</v>
      </c>
      <c r="C63" s="53">
        <f>'Lisa3 RE ja TA võrdlus'!G118+'Lisa3 RE ja TA võrdlus'!G121+'Lisa3 RE ja TA võrdlus'!G124</f>
        <v>-852745800.49000001</v>
      </c>
      <c r="D63" s="53">
        <f>'Lisa3 RE ja TA võrdlus'!G117+'Lisa3 RE ja TA võrdlus'!G120</f>
        <v>122949687.65000001</v>
      </c>
      <c r="E63" s="53">
        <f t="shared" si="81"/>
        <v>108910414.88000003</v>
      </c>
      <c r="F63" s="53" t="e">
        <f>'RETA aruanne'!#REF!</f>
        <v>#REF!</v>
      </c>
      <c r="G63" s="53" t="e">
        <f>'RETA aruanne'!#REF!+'RETA aruanne'!#REF!</f>
        <v>#REF!</v>
      </c>
      <c r="H63" s="53" t="e">
        <f>'RETA aruanne'!#REF!</f>
        <v>#REF!</v>
      </c>
      <c r="I63" s="53" t="e">
        <f t="shared" si="82"/>
        <v>#REF!</v>
      </c>
      <c r="J63" s="53" t="e">
        <f t="shared" si="80"/>
        <v>#REF!</v>
      </c>
    </row>
    <row r="64" spans="1:10" ht="21.5" x14ac:dyDescent="0.35">
      <c r="A64" s="36" t="s">
        <v>88</v>
      </c>
      <c r="B64" s="53">
        <f>'Lisa3 RE ja TA võrdlus'!G130+'Lisa3 RE ja TA võrdlus'!G131+'Lisa3 RE ja TA võrdlus'!G132+'Lisa3 RE ja TA võrdlus'!G133+'Lisa3 RE ja TA võrdlus'!G134+'Lisa3 RE ja TA võrdlus'!G135</f>
        <v>60996897.030000001</v>
      </c>
      <c r="C64" s="53">
        <f>'Lisa3 RE ja TA võrdlus'!G138+'Lisa3 RE ja TA võrdlus'!G141+'Lisa3 RE ja TA võrdlus'!G144</f>
        <v>-377564828.66000003</v>
      </c>
      <c r="D64" s="53">
        <f>'Lisa3 RE ja TA võrdlus'!G137+'Lisa3 RE ja TA võrdlus'!G140</f>
        <v>292759.86</v>
      </c>
      <c r="E64" s="53">
        <f t="shared" si="81"/>
        <v>-316275171.76999998</v>
      </c>
      <c r="F64" s="53">
        <f>'RETA aruanne'!F5</f>
        <v>15253518.220000003</v>
      </c>
      <c r="G64" s="53">
        <f>'RETA aruanne'!F11+'RETA aruanne'!F66</f>
        <v>-376395856.75</v>
      </c>
      <c r="H64" s="53">
        <f>'RETA aruanne'!F71</f>
        <v>44867166.890000001</v>
      </c>
      <c r="I64" s="53">
        <f t="shared" si="82"/>
        <v>-316275171.63999999</v>
      </c>
      <c r="J64" s="53">
        <f t="shared" si="80"/>
        <v>0.12999999523162842</v>
      </c>
    </row>
    <row r="65" spans="1:12" ht="51.5" x14ac:dyDescent="0.35">
      <c r="A65" s="36" t="s">
        <v>89</v>
      </c>
      <c r="B65" s="53">
        <f>'Lisa3 RE ja TA võrdlus'!G146+'Lisa3 RE ja TA võrdlus'!G147+'Lisa3 RE ja TA võrdlus'!G148+'Lisa3 RE ja TA võrdlus'!G149+'Lisa3 RE ja TA võrdlus'!G150+'Lisa3 RE ja TA võrdlus'!G151+'Lisa3 RE ja TA võrdlus'!G152</f>
        <v>428842475.48000002</v>
      </c>
      <c r="C65" s="53">
        <f>'Lisa3 RE ja TA võrdlus'!G155+'Lisa3 RE ja TA võrdlus'!G158+'Lisa3 RE ja TA võrdlus'!G161</f>
        <v>-1187217718.49</v>
      </c>
      <c r="D65" s="53">
        <f>'Lisa3 RE ja TA võrdlus'!G154+'Lisa3 RE ja TA võrdlus'!G157</f>
        <v>30558304.469999999</v>
      </c>
      <c r="E65" s="53">
        <f t="shared" si="81"/>
        <v>-727816938.53999996</v>
      </c>
      <c r="F65" s="53" t="e">
        <f>'RETA aruanne'!#REF!</f>
        <v>#REF!</v>
      </c>
      <c r="G65" s="53" t="e">
        <f>'RETA aruanne'!#REF!+'RETA aruanne'!#REF!</f>
        <v>#REF!</v>
      </c>
      <c r="H65" s="53" t="e">
        <f>'RETA aruanne'!#REF!</f>
        <v>#REF!</v>
      </c>
      <c r="I65" s="53" t="e">
        <f t="shared" si="82"/>
        <v>#REF!</v>
      </c>
      <c r="J65" s="53" t="e">
        <f t="shared" si="80"/>
        <v>#REF!</v>
      </c>
    </row>
    <row r="66" spans="1:12" ht="53.5" x14ac:dyDescent="0.35">
      <c r="A66" s="37" t="s">
        <v>879</v>
      </c>
      <c r="B66" s="53">
        <f>'Lisa3 RE ja TA võrdlus'!G168+'Lisa3 RE ja TA võrdlus'!G169+'Lisa3 RE ja TA võrdlus'!G170+'Lisa3 RE ja TA võrdlus'!G171+'Lisa3 RE ja TA võrdlus'!G172+'Lisa3 RE ja TA võrdlus'!G173+'Lisa3 RE ja TA võrdlus'!G174</f>
        <v>365386196.41999996</v>
      </c>
      <c r="C66" s="53">
        <f>'Lisa3 RE ja TA võrdlus'!G177+'Lisa3 RE ja TA võrdlus'!G180+'Lisa3 RE ja TA võrdlus'!G183</f>
        <v>-1371104283.4100001</v>
      </c>
      <c r="D66" s="53">
        <f>'Lisa3 RE ja TA võrdlus'!G176+'Lisa3 RE ja TA võrdlus'!G179</f>
        <v>7186605.4699999997</v>
      </c>
      <c r="E66" s="53">
        <f t="shared" si="81"/>
        <v>-998531481.5200001</v>
      </c>
      <c r="F66" s="53" t="e">
        <f>'RETA aruanne'!#REF!</f>
        <v>#REF!</v>
      </c>
      <c r="G66" s="53" t="e">
        <f>'RETA aruanne'!#REF!+'RETA aruanne'!#REF!</f>
        <v>#REF!</v>
      </c>
      <c r="H66" s="53" t="e">
        <f>'RETA aruanne'!#REF!</f>
        <v>#REF!</v>
      </c>
      <c r="I66" s="53" t="e">
        <f t="shared" si="82"/>
        <v>#REF!</v>
      </c>
      <c r="J66" s="53" t="e">
        <f t="shared" si="80"/>
        <v>#REF!</v>
      </c>
    </row>
    <row r="67" spans="1:12" ht="21.5" x14ac:dyDescent="0.35">
      <c r="A67" s="36" t="s">
        <v>90</v>
      </c>
      <c r="B67" s="53">
        <f>'Lisa3 RE ja TA võrdlus'!G188+'Lisa3 RE ja TA võrdlus'!G189+'Lisa3 RE ja TA võrdlus'!G190+'Lisa3 RE ja TA võrdlus'!G191+'Lisa3 RE ja TA võrdlus'!G192+'Lisa3 RE ja TA võrdlus'!G193+'Lisa3 RE ja TA võrdlus'!G194</f>
        <v>14364859239.809998</v>
      </c>
      <c r="C67" s="53">
        <f>'Lisa3 RE ja TA võrdlus'!G197+'Lisa3 RE ja TA võrdlus'!G200+'Lisa3 RE ja TA võrdlus'!G202+'Lisa3 RE ja TA võrdlus'!G218</f>
        <v>-7955841011.4499998</v>
      </c>
      <c r="D67" s="53">
        <f>'Lisa3 RE ja TA võrdlus'!G196+'Lisa3 RE ja TA võrdlus'!G199</f>
        <v>-36532128.98999998</v>
      </c>
      <c r="E67" s="53">
        <f t="shared" si="81"/>
        <v>6372486099.369998</v>
      </c>
      <c r="F67" s="53" t="e">
        <f>'RETA aruanne'!#REF!</f>
        <v>#REF!</v>
      </c>
      <c r="G67" s="53" t="e">
        <f>'RETA aruanne'!#REF!+'RETA aruanne'!#REF!+'RETA aruanne'!#REF!</f>
        <v>#REF!</v>
      </c>
      <c r="H67" s="53" t="e">
        <f>'RETA aruanne'!#REF!-'RETA aruanne'!#REF!</f>
        <v>#REF!</v>
      </c>
      <c r="I67" s="53" t="e">
        <f t="shared" si="82"/>
        <v>#REF!</v>
      </c>
      <c r="J67" s="53" t="e">
        <f t="shared" si="80"/>
        <v>#REF!</v>
      </c>
      <c r="L67" s="26"/>
    </row>
    <row r="68" spans="1:12" ht="21.5" x14ac:dyDescent="0.35">
      <c r="A68" s="36" t="s">
        <v>91</v>
      </c>
      <c r="B68" s="53">
        <f>'Lisa3 RE ja TA võrdlus'!G219+'Lisa3 RE ja TA võrdlus'!G220+'Lisa3 RE ja TA võrdlus'!G221+'Lisa3 RE ja TA võrdlus'!G222+'Lisa3 RE ja TA võrdlus'!G223+'Lisa3 RE ja TA võrdlus'!G224</f>
        <v>65098999.380000003</v>
      </c>
      <c r="C68" s="53">
        <f>'Lisa3 RE ja TA võrdlus'!G227+'Lisa3 RE ja TA võrdlus'!G230+'Lisa3 RE ja TA võrdlus'!G233</f>
        <v>-617118025.44000006</v>
      </c>
      <c r="D68" s="53">
        <f>'Lisa3 RE ja TA võrdlus'!G226+'Lisa3 RE ja TA võrdlus'!G229</f>
        <v>-45442152</v>
      </c>
      <c r="E68" s="53">
        <f t="shared" si="81"/>
        <v>-597461178.06000006</v>
      </c>
      <c r="F68" s="53" t="e">
        <f>'RETA aruanne'!#REF!</f>
        <v>#REF!</v>
      </c>
      <c r="G68" s="53" t="e">
        <f>'RETA aruanne'!#REF!+'RETA aruanne'!#REF!</f>
        <v>#REF!</v>
      </c>
      <c r="H68" s="53" t="e">
        <f>'RETA aruanne'!#REF!-'RETA aruanne'!#REF!</f>
        <v>#REF!</v>
      </c>
      <c r="I68" s="53" t="e">
        <f t="shared" si="82"/>
        <v>#REF!</v>
      </c>
      <c r="J68" s="53" t="e">
        <f t="shared" si="80"/>
        <v>#REF!</v>
      </c>
    </row>
    <row r="69" spans="1:12" ht="21.5" x14ac:dyDescent="0.35">
      <c r="A69" s="36" t="s">
        <v>92</v>
      </c>
      <c r="B69" s="53">
        <f>'Lisa3 RE ja TA võrdlus'!G234+'Lisa3 RE ja TA võrdlus'!G235+'Lisa3 RE ja TA võrdlus'!G236+'Lisa3 RE ja TA võrdlus'!G237+'Lisa3 RE ja TA võrdlus'!G238+'Lisa3 RE ja TA võrdlus'!G239+'Lisa3 RE ja TA võrdlus'!G240</f>
        <v>5135938502.9099998</v>
      </c>
      <c r="C69" s="53">
        <f>'Lisa3 RE ja TA võrdlus'!G243+'Lisa3 RE ja TA võrdlus'!G246+'Lisa3 RE ja TA võrdlus'!G248</f>
        <v>-6997658558.7799997</v>
      </c>
      <c r="D69" s="53">
        <f>'Lisa3 RE ja TA võrdlus'!G242+'Lisa3 RE ja TA võrdlus'!G245</f>
        <v>-97611699.090000004</v>
      </c>
      <c r="E69" s="53">
        <f t="shared" si="81"/>
        <v>-1959331754.9599998</v>
      </c>
      <c r="F69" s="53" t="e">
        <f>'RETA aruanne'!#REF!</f>
        <v>#REF!</v>
      </c>
      <c r="G69" s="53" t="e">
        <f>'RETA aruanne'!#REF!+'RETA aruanne'!#REF!</f>
        <v>#REF!</v>
      </c>
      <c r="H69" s="53" t="e">
        <f>'RETA aruanne'!#REF!</f>
        <v>#REF!</v>
      </c>
      <c r="I69" s="53" t="e">
        <f t="shared" si="82"/>
        <v>#REF!</v>
      </c>
      <c r="J69" s="53" t="e">
        <f t="shared" si="80"/>
        <v>#REF!</v>
      </c>
    </row>
    <row r="70" spans="1:12" ht="21.5" x14ac:dyDescent="0.35">
      <c r="A70" s="36" t="s">
        <v>93</v>
      </c>
      <c r="B70" s="53">
        <f>'Lisa3 RE ja TA võrdlus'!G250+'Lisa3 RE ja TA võrdlus'!G251+'Lisa3 RE ja TA võrdlus'!G252+'Lisa3 RE ja TA võrdlus'!G253+'Lisa3 RE ja TA võrdlus'!G255</f>
        <v>10962647.42</v>
      </c>
      <c r="C70" s="53">
        <f>'Lisa3 RE ja TA võrdlus'!G257+'Lisa3 RE ja TA võrdlus'!G259+'Lisa3 RE ja TA võrdlus'!G262</f>
        <v>-118593144.23</v>
      </c>
      <c r="D70" s="53">
        <f>'Lisa3 RE ja TA võrdlus'!G256+'Lisa3 RE ja TA võrdlus'!G258</f>
        <v>14723.48</v>
      </c>
      <c r="E70" s="53">
        <f t="shared" si="81"/>
        <v>-107615773.33</v>
      </c>
      <c r="F70" s="53" t="e">
        <f>'RETA aruanne'!#REF!</f>
        <v>#REF!</v>
      </c>
      <c r="G70" s="53" t="e">
        <f>'RETA aruanne'!#REF!+'RETA aruanne'!#REF!</f>
        <v>#REF!</v>
      </c>
      <c r="H70" s="53" t="e">
        <f>'RETA aruanne'!#REF!</f>
        <v>#REF!</v>
      </c>
      <c r="I70" s="53" t="e">
        <f t="shared" si="82"/>
        <v>#REF!</v>
      </c>
      <c r="J70" s="53" t="e">
        <f t="shared" si="80"/>
        <v>#REF!</v>
      </c>
    </row>
    <row r="71" spans="1:12" ht="21.5" x14ac:dyDescent="0.35">
      <c r="A71" s="36" t="s">
        <v>767</v>
      </c>
      <c r="B71" s="53">
        <f>B72-SUM(B54:B70)</f>
        <v>-5803575736.6399918</v>
      </c>
      <c r="C71" s="53">
        <f t="shared" ref="C71:H71" si="83">C72-SUM(C54:C70)</f>
        <v>5679493097.5200024</v>
      </c>
      <c r="D71" s="53">
        <f t="shared" si="83"/>
        <v>0</v>
      </c>
      <c r="E71" s="53">
        <f t="shared" si="81"/>
        <v>-124082639.1199894</v>
      </c>
      <c r="F71" s="53" t="e">
        <f t="shared" si="83"/>
        <v>#REF!</v>
      </c>
      <c r="G71" s="53" t="e">
        <f t="shared" si="83"/>
        <v>#REF!</v>
      </c>
      <c r="H71" s="53" t="e">
        <f t="shared" si="83"/>
        <v>#REF!</v>
      </c>
      <c r="I71" s="53" t="e">
        <f t="shared" si="82"/>
        <v>#REF!</v>
      </c>
      <c r="J71" s="53" t="e">
        <f t="shared" si="80"/>
        <v>#REF!</v>
      </c>
    </row>
    <row r="72" spans="1:12" x14ac:dyDescent="0.35">
      <c r="A72" s="41" t="s">
        <v>79</v>
      </c>
      <c r="B72" s="53">
        <f>aavordlus!O21-aavordlus!O18-aavordlus!O19-aavordlus!O20</f>
        <v>15791036869.43</v>
      </c>
      <c r="C72" s="53">
        <f>aavordlus!O35-aavordlus!O33</f>
        <v>-16257885618.839998</v>
      </c>
      <c r="D72" s="53">
        <f>aavordlus!O18+aavordlus!O19+aavordlus!O20+aavordlus!O33</f>
        <v>-55020406.810000002</v>
      </c>
      <c r="E72" s="53">
        <f t="shared" ref="E72" si="84">SUM(B72:D72)</f>
        <v>-521869156.21999794</v>
      </c>
      <c r="F72" s="53" t="e">
        <f>'RETA aruanne'!#REF!</f>
        <v>#REF!</v>
      </c>
      <c r="G72" s="53" t="e">
        <f>'RETA aruanne'!#REF!</f>
        <v>#REF!</v>
      </c>
      <c r="H72" s="53" t="e">
        <f>'RETA aruanne'!#REF!+'RETA aruanne'!#REF!</f>
        <v>#REF!</v>
      </c>
      <c r="I72" s="53" t="e">
        <f t="shared" si="82"/>
        <v>#REF!</v>
      </c>
      <c r="J72" s="53" t="e">
        <f t="shared" si="80"/>
        <v>#REF!</v>
      </c>
    </row>
    <row r="73" spans="1:12" x14ac:dyDescent="0.35">
      <c r="B73" s="26"/>
      <c r="C73" s="26"/>
      <c r="D73" s="26"/>
      <c r="E73" s="26"/>
      <c r="F73" s="26"/>
      <c r="G73" s="26"/>
      <c r="H73" s="26"/>
      <c r="I73" s="26"/>
      <c r="J73" s="26"/>
    </row>
    <row r="74" spans="1:12" x14ac:dyDescent="0.35">
      <c r="B74" s="26"/>
      <c r="C74" s="26"/>
      <c r="D74" s="26"/>
      <c r="E74" s="26"/>
      <c r="F74" s="26"/>
      <c r="G74" s="26"/>
      <c r="H74" s="26"/>
      <c r="I74" s="26"/>
      <c r="J74" s="26"/>
    </row>
    <row r="75" spans="1:12" x14ac:dyDescent="0.35">
      <c r="A75" s="139"/>
      <c r="B75" s="291" t="s">
        <v>765</v>
      </c>
      <c r="C75" s="292"/>
      <c r="D75" s="292"/>
      <c r="E75" s="293"/>
      <c r="F75" s="294" t="s">
        <v>766</v>
      </c>
      <c r="G75" s="295"/>
      <c r="H75" s="295"/>
      <c r="I75" s="296"/>
      <c r="J75" s="194" t="s">
        <v>795</v>
      </c>
    </row>
    <row r="76" spans="1:12" x14ac:dyDescent="0.35">
      <c r="A76" s="140"/>
      <c r="B76" s="141" t="s">
        <v>40</v>
      </c>
      <c r="C76" s="141" t="s">
        <v>768</v>
      </c>
      <c r="D76" s="141" t="s">
        <v>792</v>
      </c>
      <c r="E76" s="141" t="s">
        <v>793</v>
      </c>
      <c r="F76" s="141" t="s">
        <v>94</v>
      </c>
      <c r="G76" s="141" t="s">
        <v>24</v>
      </c>
      <c r="H76" s="141"/>
      <c r="I76" s="141" t="s">
        <v>793</v>
      </c>
      <c r="J76" s="141"/>
    </row>
    <row r="77" spans="1:12" x14ac:dyDescent="0.35">
      <c r="A77" s="37" t="s">
        <v>83</v>
      </c>
      <c r="B77" s="38">
        <f t="shared" ref="B77:J77" si="85">ROUND(B54/1000,0)</f>
        <v>158</v>
      </c>
      <c r="C77" s="38">
        <f t="shared" si="85"/>
        <v>-32923</v>
      </c>
      <c r="D77" s="38">
        <f t="shared" si="85"/>
        <v>-96</v>
      </c>
      <c r="E77" s="38">
        <f t="shared" si="85"/>
        <v>-32861</v>
      </c>
      <c r="F77" s="38" t="e">
        <f t="shared" si="85"/>
        <v>#REF!</v>
      </c>
      <c r="G77" s="38" t="e">
        <f t="shared" si="85"/>
        <v>#REF!</v>
      </c>
      <c r="H77" s="38" t="e">
        <f t="shared" si="85"/>
        <v>#REF!</v>
      </c>
      <c r="I77" s="38" t="e">
        <f t="shared" si="85"/>
        <v>#REF!</v>
      </c>
      <c r="J77" s="38" t="e">
        <f t="shared" si="85"/>
        <v>#REF!</v>
      </c>
    </row>
    <row r="78" spans="1:12" ht="22" x14ac:dyDescent="0.35">
      <c r="A78" s="37" t="s">
        <v>84</v>
      </c>
      <c r="B78" s="38">
        <f t="shared" ref="B78:J78" si="86">ROUND(B55/1000,0)</f>
        <v>44</v>
      </c>
      <c r="C78" s="38">
        <f t="shared" si="86"/>
        <v>-5693</v>
      </c>
      <c r="D78" s="38">
        <f t="shared" si="86"/>
        <v>-316</v>
      </c>
      <c r="E78" s="38">
        <f t="shared" si="86"/>
        <v>-5965</v>
      </c>
      <c r="F78" s="38" t="e">
        <f t="shared" si="86"/>
        <v>#REF!</v>
      </c>
      <c r="G78" s="38" t="e">
        <f t="shared" si="86"/>
        <v>#REF!</v>
      </c>
      <c r="H78" s="38" t="e">
        <f t="shared" si="86"/>
        <v>#REF!</v>
      </c>
      <c r="I78" s="38" t="e">
        <f t="shared" si="86"/>
        <v>#REF!</v>
      </c>
      <c r="J78" s="38" t="e">
        <f t="shared" si="86"/>
        <v>#REF!</v>
      </c>
    </row>
    <row r="79" spans="1:12" x14ac:dyDescent="0.35">
      <c r="A79" s="37" t="s">
        <v>44</v>
      </c>
      <c r="B79" s="38">
        <f t="shared" ref="B79:J79" si="87">ROUND(B56/1000,0)</f>
        <v>1</v>
      </c>
      <c r="C79" s="38">
        <f t="shared" si="87"/>
        <v>-5666</v>
      </c>
      <c r="D79" s="38">
        <f t="shared" si="87"/>
        <v>-1</v>
      </c>
      <c r="E79" s="38">
        <f t="shared" si="87"/>
        <v>-5666</v>
      </c>
      <c r="F79" s="38" t="e">
        <f t="shared" si="87"/>
        <v>#REF!</v>
      </c>
      <c r="G79" s="38" t="e">
        <f t="shared" si="87"/>
        <v>#REF!</v>
      </c>
      <c r="H79" s="38" t="e">
        <f t="shared" si="87"/>
        <v>#REF!</v>
      </c>
      <c r="I79" s="38" t="e">
        <f t="shared" si="87"/>
        <v>#REF!</v>
      </c>
      <c r="J79" s="38" t="e">
        <f t="shared" si="87"/>
        <v>#REF!</v>
      </c>
    </row>
    <row r="80" spans="1:12" ht="22" x14ac:dyDescent="0.35">
      <c r="A80" s="37" t="s">
        <v>45</v>
      </c>
      <c r="B80" s="38">
        <f t="shared" ref="B80:J80" si="88">ROUND(B57/1000,0)</f>
        <v>22</v>
      </c>
      <c r="C80" s="38">
        <f t="shared" si="88"/>
        <v>-3388</v>
      </c>
      <c r="D80" s="38">
        <f t="shared" si="88"/>
        <v>-2</v>
      </c>
      <c r="E80" s="38">
        <f t="shared" si="88"/>
        <v>-3368</v>
      </c>
      <c r="F80" s="38" t="e">
        <f t="shared" si="88"/>
        <v>#REF!</v>
      </c>
      <c r="G80" s="38" t="e">
        <f t="shared" si="88"/>
        <v>#REF!</v>
      </c>
      <c r="H80" s="38" t="e">
        <f t="shared" si="88"/>
        <v>#REF!</v>
      </c>
      <c r="I80" s="38" t="e">
        <f t="shared" si="88"/>
        <v>#REF!</v>
      </c>
      <c r="J80" s="38" t="e">
        <f t="shared" si="88"/>
        <v>#REF!</v>
      </c>
    </row>
    <row r="81" spans="1:10" x14ac:dyDescent="0.35">
      <c r="A81" s="37" t="s">
        <v>46</v>
      </c>
      <c r="B81" s="38">
        <f t="shared" ref="B81:J81" si="89">ROUND(B58/1000,0)</f>
        <v>404</v>
      </c>
      <c r="C81" s="38">
        <f t="shared" si="89"/>
        <v>-6911</v>
      </c>
      <c r="D81" s="38">
        <f t="shared" si="89"/>
        <v>-367</v>
      </c>
      <c r="E81" s="38">
        <f t="shared" si="89"/>
        <v>-6875</v>
      </c>
      <c r="F81" s="38" t="e">
        <f t="shared" si="89"/>
        <v>#REF!</v>
      </c>
      <c r="G81" s="38" t="e">
        <f t="shared" si="89"/>
        <v>#REF!</v>
      </c>
      <c r="H81" s="38" t="e">
        <f t="shared" si="89"/>
        <v>#REF!</v>
      </c>
      <c r="I81" s="38" t="e">
        <f t="shared" si="89"/>
        <v>#REF!</v>
      </c>
      <c r="J81" s="38" t="e">
        <f t="shared" si="89"/>
        <v>#REF!</v>
      </c>
    </row>
    <row r="82" spans="1:10" ht="22" x14ac:dyDescent="0.35">
      <c r="A82" s="37" t="s">
        <v>47</v>
      </c>
      <c r="B82" s="38">
        <f t="shared" ref="B82:J82" si="90">ROUND(B59/1000,0)</f>
        <v>2134</v>
      </c>
      <c r="C82" s="38">
        <f t="shared" si="90"/>
        <v>-18209</v>
      </c>
      <c r="D82" s="38">
        <f t="shared" si="90"/>
        <v>-3</v>
      </c>
      <c r="E82" s="38">
        <f t="shared" si="90"/>
        <v>-16078</v>
      </c>
      <c r="F82" s="38" t="e">
        <f t="shared" si="90"/>
        <v>#REF!</v>
      </c>
      <c r="G82" s="38" t="e">
        <f t="shared" si="90"/>
        <v>#REF!</v>
      </c>
      <c r="H82" s="38" t="e">
        <f t="shared" si="90"/>
        <v>#REF!</v>
      </c>
      <c r="I82" s="38" t="e">
        <f t="shared" si="90"/>
        <v>#REF!</v>
      </c>
      <c r="J82" s="38" t="e">
        <f t="shared" si="90"/>
        <v>#REF!</v>
      </c>
    </row>
    <row r="83" spans="1:10" ht="32.5" x14ac:dyDescent="0.35">
      <c r="A83" s="37" t="s">
        <v>85</v>
      </c>
      <c r="B83" s="38">
        <f t="shared" ref="B83:J83" si="91">ROUND(B60/1000,0)</f>
        <v>78787</v>
      </c>
      <c r="C83" s="38">
        <f t="shared" si="91"/>
        <v>-1003049</v>
      </c>
      <c r="D83" s="38">
        <f t="shared" si="91"/>
        <v>0</v>
      </c>
      <c r="E83" s="38">
        <f t="shared" si="91"/>
        <v>-924262</v>
      </c>
      <c r="F83" s="38" t="e">
        <f t="shared" si="91"/>
        <v>#REF!</v>
      </c>
      <c r="G83" s="38" t="e">
        <f t="shared" si="91"/>
        <v>#REF!</v>
      </c>
      <c r="H83" s="38" t="e">
        <f t="shared" si="91"/>
        <v>#REF!</v>
      </c>
      <c r="I83" s="38" t="e">
        <f t="shared" si="91"/>
        <v>#REF!</v>
      </c>
      <c r="J83" s="38" t="e">
        <f t="shared" si="91"/>
        <v>#REF!</v>
      </c>
    </row>
    <row r="84" spans="1:10" ht="22" x14ac:dyDescent="0.35">
      <c r="A84" s="37" t="s">
        <v>86</v>
      </c>
      <c r="B84" s="38">
        <f t="shared" ref="B84:J84" si="92">ROUND(B61/1000,0)</f>
        <v>52850</v>
      </c>
      <c r="C84" s="38">
        <f t="shared" si="92"/>
        <v>-223249</v>
      </c>
      <c r="D84" s="38">
        <f t="shared" si="92"/>
        <v>-6149</v>
      </c>
      <c r="E84" s="38">
        <f t="shared" si="92"/>
        <v>-176548</v>
      </c>
      <c r="F84" s="38" t="e">
        <f t="shared" si="92"/>
        <v>#REF!</v>
      </c>
      <c r="G84" s="38" t="e">
        <f t="shared" si="92"/>
        <v>#REF!</v>
      </c>
      <c r="H84" s="38" t="e">
        <f t="shared" si="92"/>
        <v>#REF!</v>
      </c>
      <c r="I84" s="38" t="e">
        <f t="shared" si="92"/>
        <v>#REF!</v>
      </c>
      <c r="J84" s="38" t="e">
        <f t="shared" si="92"/>
        <v>#REF!</v>
      </c>
    </row>
    <row r="85" spans="1:10" ht="22" x14ac:dyDescent="0.35">
      <c r="A85" s="37" t="s">
        <v>87</v>
      </c>
      <c r="B85" s="38">
        <f t="shared" ref="B85:J85" si="93">ROUND(B62/1000,0)</f>
        <v>189420</v>
      </c>
      <c r="C85" s="38">
        <f t="shared" si="93"/>
        <v>-1160446</v>
      </c>
      <c r="D85" s="38">
        <f t="shared" si="93"/>
        <v>-29501</v>
      </c>
      <c r="E85" s="38">
        <f t="shared" si="93"/>
        <v>-1000527</v>
      </c>
      <c r="F85" s="38" t="e">
        <f t="shared" si="93"/>
        <v>#REF!</v>
      </c>
      <c r="G85" s="38" t="e">
        <f t="shared" si="93"/>
        <v>#REF!</v>
      </c>
      <c r="H85" s="38" t="e">
        <f t="shared" si="93"/>
        <v>#REF!</v>
      </c>
      <c r="I85" s="38" t="e">
        <f t="shared" si="93"/>
        <v>#REF!</v>
      </c>
      <c r="J85" s="38" t="e">
        <f t="shared" si="93"/>
        <v>#REF!</v>
      </c>
    </row>
    <row r="86" spans="1:10" ht="22" x14ac:dyDescent="0.35">
      <c r="A86" s="37" t="s">
        <v>878</v>
      </c>
      <c r="B86" s="38">
        <f t="shared" ref="B86:J86" si="94">ROUND(B63/1000,0)</f>
        <v>838707</v>
      </c>
      <c r="C86" s="38">
        <f t="shared" si="94"/>
        <v>-852746</v>
      </c>
      <c r="D86" s="38">
        <f t="shared" si="94"/>
        <v>122950</v>
      </c>
      <c r="E86" s="38">
        <f t="shared" si="94"/>
        <v>108910</v>
      </c>
      <c r="F86" s="38" t="e">
        <f t="shared" si="94"/>
        <v>#REF!</v>
      </c>
      <c r="G86" s="38" t="e">
        <f t="shared" si="94"/>
        <v>#REF!</v>
      </c>
      <c r="H86" s="38" t="e">
        <f t="shared" si="94"/>
        <v>#REF!</v>
      </c>
      <c r="I86" s="38" t="e">
        <f t="shared" si="94"/>
        <v>#REF!</v>
      </c>
      <c r="J86" s="38" t="e">
        <f t="shared" si="94"/>
        <v>#REF!</v>
      </c>
    </row>
    <row r="87" spans="1:10" ht="22" x14ac:dyDescent="0.35">
      <c r="A87" s="37" t="s">
        <v>88</v>
      </c>
      <c r="B87" s="38">
        <f t="shared" ref="B87:J87" si="95">ROUND(B64/1000,0)</f>
        <v>60997</v>
      </c>
      <c r="C87" s="38">
        <f t="shared" si="95"/>
        <v>-377565</v>
      </c>
      <c r="D87" s="38">
        <f t="shared" si="95"/>
        <v>293</v>
      </c>
      <c r="E87" s="38">
        <f t="shared" si="95"/>
        <v>-316275</v>
      </c>
      <c r="F87" s="38">
        <f t="shared" si="95"/>
        <v>15254</v>
      </c>
      <c r="G87" s="38">
        <f t="shared" si="95"/>
        <v>-376396</v>
      </c>
      <c r="H87" s="38">
        <f t="shared" si="95"/>
        <v>44867</v>
      </c>
      <c r="I87" s="38">
        <f t="shared" si="95"/>
        <v>-316275</v>
      </c>
      <c r="J87" s="38">
        <f t="shared" si="95"/>
        <v>0</v>
      </c>
    </row>
    <row r="88" spans="1:10" ht="53.5" x14ac:dyDescent="0.35">
      <c r="A88" s="37" t="s">
        <v>89</v>
      </c>
      <c r="B88" s="38">
        <f t="shared" ref="B88:J88" si="96">ROUND(B65/1000,0)</f>
        <v>428842</v>
      </c>
      <c r="C88" s="38">
        <f t="shared" si="96"/>
        <v>-1187218</v>
      </c>
      <c r="D88" s="38">
        <f t="shared" si="96"/>
        <v>30558</v>
      </c>
      <c r="E88" s="38">
        <f t="shared" si="96"/>
        <v>-727817</v>
      </c>
      <c r="F88" s="38" t="e">
        <f t="shared" si="96"/>
        <v>#REF!</v>
      </c>
      <c r="G88" s="38" t="e">
        <f t="shared" si="96"/>
        <v>#REF!</v>
      </c>
      <c r="H88" s="38" t="e">
        <f t="shared" si="96"/>
        <v>#REF!</v>
      </c>
      <c r="I88" s="38" t="e">
        <f t="shared" si="96"/>
        <v>#REF!</v>
      </c>
      <c r="J88" s="38" t="e">
        <f t="shared" si="96"/>
        <v>#REF!</v>
      </c>
    </row>
    <row r="89" spans="1:10" ht="53.5" x14ac:dyDescent="0.35">
      <c r="A89" s="37" t="s">
        <v>879</v>
      </c>
      <c r="B89" s="38">
        <f t="shared" ref="B89:J89" si="97">ROUND(B66/1000,0)</f>
        <v>365386</v>
      </c>
      <c r="C89" s="38">
        <f t="shared" si="97"/>
        <v>-1371104</v>
      </c>
      <c r="D89" s="38">
        <f t="shared" si="97"/>
        <v>7187</v>
      </c>
      <c r="E89" s="38">
        <f t="shared" si="97"/>
        <v>-998531</v>
      </c>
      <c r="F89" s="38" t="e">
        <f t="shared" si="97"/>
        <v>#REF!</v>
      </c>
      <c r="G89" s="38" t="e">
        <f t="shared" si="97"/>
        <v>#REF!</v>
      </c>
      <c r="H89" s="38" t="e">
        <f t="shared" si="97"/>
        <v>#REF!</v>
      </c>
      <c r="I89" s="38" t="e">
        <f t="shared" si="97"/>
        <v>#REF!</v>
      </c>
      <c r="J89" s="38" t="e">
        <f t="shared" si="97"/>
        <v>#REF!</v>
      </c>
    </row>
    <row r="90" spans="1:10" ht="22" x14ac:dyDescent="0.35">
      <c r="A90" s="37" t="s">
        <v>90</v>
      </c>
      <c r="B90" s="38">
        <f t="shared" ref="B90:J90" si="98">ROUND(B67/1000,0)</f>
        <v>14364859</v>
      </c>
      <c r="C90" s="38">
        <f t="shared" si="98"/>
        <v>-7955841</v>
      </c>
      <c r="D90" s="38">
        <f t="shared" si="98"/>
        <v>-36532</v>
      </c>
      <c r="E90" s="38">
        <f t="shared" si="98"/>
        <v>6372486</v>
      </c>
      <c r="F90" s="38" t="e">
        <f t="shared" si="98"/>
        <v>#REF!</v>
      </c>
      <c r="G90" s="38" t="e">
        <f t="shared" si="98"/>
        <v>#REF!</v>
      </c>
      <c r="H90" s="38" t="e">
        <f t="shared" si="98"/>
        <v>#REF!</v>
      </c>
      <c r="I90" s="38" t="e">
        <f t="shared" si="98"/>
        <v>#REF!</v>
      </c>
      <c r="J90" s="38" t="e">
        <f t="shared" si="98"/>
        <v>#REF!</v>
      </c>
    </row>
    <row r="91" spans="1:10" ht="22" x14ac:dyDescent="0.35">
      <c r="A91" s="37" t="s">
        <v>91</v>
      </c>
      <c r="B91" s="38">
        <f t="shared" ref="B91:J91" si="99">ROUND(B68/1000,0)</f>
        <v>65099</v>
      </c>
      <c r="C91" s="38">
        <f t="shared" si="99"/>
        <v>-617118</v>
      </c>
      <c r="D91" s="38">
        <f t="shared" si="99"/>
        <v>-45442</v>
      </c>
      <c r="E91" s="38">
        <f t="shared" si="99"/>
        <v>-597461</v>
      </c>
      <c r="F91" s="38" t="e">
        <f t="shared" si="99"/>
        <v>#REF!</v>
      </c>
      <c r="G91" s="38" t="e">
        <f t="shared" si="99"/>
        <v>#REF!</v>
      </c>
      <c r="H91" s="38" t="e">
        <f t="shared" si="99"/>
        <v>#REF!</v>
      </c>
      <c r="I91" s="38" t="e">
        <f t="shared" si="99"/>
        <v>#REF!</v>
      </c>
      <c r="J91" s="38" t="e">
        <f t="shared" si="99"/>
        <v>#REF!</v>
      </c>
    </row>
    <row r="92" spans="1:10" ht="22" x14ac:dyDescent="0.35">
      <c r="A92" s="37" t="s">
        <v>92</v>
      </c>
      <c r="B92" s="38">
        <f t="shared" ref="B92:J92" si="100">ROUND(B69/1000,0)</f>
        <v>5135939</v>
      </c>
      <c r="C92" s="38">
        <f t="shared" si="100"/>
        <v>-6997659</v>
      </c>
      <c r="D92" s="38">
        <f t="shared" si="100"/>
        <v>-97612</v>
      </c>
      <c r="E92" s="38">
        <f t="shared" si="100"/>
        <v>-1959332</v>
      </c>
      <c r="F92" s="38" t="e">
        <f t="shared" si="100"/>
        <v>#REF!</v>
      </c>
      <c r="G92" s="38" t="e">
        <f t="shared" si="100"/>
        <v>#REF!</v>
      </c>
      <c r="H92" s="38" t="e">
        <f t="shared" si="100"/>
        <v>#REF!</v>
      </c>
      <c r="I92" s="38" t="e">
        <f t="shared" si="100"/>
        <v>#REF!</v>
      </c>
      <c r="J92" s="38" t="e">
        <f t="shared" si="100"/>
        <v>#REF!</v>
      </c>
    </row>
    <row r="93" spans="1:10" ht="22" x14ac:dyDescent="0.35">
      <c r="A93" s="37" t="s">
        <v>93</v>
      </c>
      <c r="B93" s="38">
        <f t="shared" ref="B93:J93" si="101">ROUND(B70/1000,0)</f>
        <v>10963</v>
      </c>
      <c r="C93" s="38">
        <f t="shared" si="101"/>
        <v>-118593</v>
      </c>
      <c r="D93" s="38">
        <f t="shared" si="101"/>
        <v>15</v>
      </c>
      <c r="E93" s="38">
        <f t="shared" si="101"/>
        <v>-107616</v>
      </c>
      <c r="F93" s="38" t="e">
        <f t="shared" si="101"/>
        <v>#REF!</v>
      </c>
      <c r="G93" s="38" t="e">
        <f t="shared" si="101"/>
        <v>#REF!</v>
      </c>
      <c r="H93" s="38" t="e">
        <f t="shared" si="101"/>
        <v>#REF!</v>
      </c>
      <c r="I93" s="38" t="e">
        <f t="shared" si="101"/>
        <v>#REF!</v>
      </c>
      <c r="J93" s="38" t="e">
        <f t="shared" si="101"/>
        <v>#REF!</v>
      </c>
    </row>
    <row r="94" spans="1:10" ht="22" x14ac:dyDescent="0.35">
      <c r="A94" s="37" t="s">
        <v>767</v>
      </c>
      <c r="B94" s="38">
        <f t="shared" ref="B94:J94" si="102">ROUND(B71/1000,0)</f>
        <v>-5803576</v>
      </c>
      <c r="C94" s="38">
        <f t="shared" si="102"/>
        <v>5679493</v>
      </c>
      <c r="D94" s="38">
        <f t="shared" si="102"/>
        <v>0</v>
      </c>
      <c r="E94" s="38">
        <f t="shared" si="102"/>
        <v>-124083</v>
      </c>
      <c r="F94" s="38" t="e">
        <f t="shared" si="102"/>
        <v>#REF!</v>
      </c>
      <c r="G94" s="38" t="e">
        <f t="shared" si="102"/>
        <v>#REF!</v>
      </c>
      <c r="H94" s="38" t="e">
        <f t="shared" si="102"/>
        <v>#REF!</v>
      </c>
      <c r="I94" s="38" t="e">
        <f t="shared" si="102"/>
        <v>#REF!</v>
      </c>
      <c r="J94" s="38" t="e">
        <f t="shared" si="102"/>
        <v>#REF!</v>
      </c>
    </row>
    <row r="95" spans="1:10" x14ac:dyDescent="0.35">
      <c r="A95" s="43" t="s">
        <v>79</v>
      </c>
      <c r="B95" s="44">
        <f t="shared" ref="B95:J95" si="103">ROUND(B72/1000,0)</f>
        <v>15791037</v>
      </c>
      <c r="C95" s="44">
        <f t="shared" si="103"/>
        <v>-16257886</v>
      </c>
      <c r="D95" s="44">
        <f t="shared" si="103"/>
        <v>-55020</v>
      </c>
      <c r="E95" s="44">
        <f t="shared" si="103"/>
        <v>-521869</v>
      </c>
      <c r="F95" s="44" t="e">
        <f t="shared" si="103"/>
        <v>#REF!</v>
      </c>
      <c r="G95" s="44" t="e">
        <f t="shared" si="103"/>
        <v>#REF!</v>
      </c>
      <c r="H95" s="44" t="e">
        <f t="shared" si="103"/>
        <v>#REF!</v>
      </c>
      <c r="I95" s="44" t="e">
        <f t="shared" si="103"/>
        <v>#REF!</v>
      </c>
      <c r="J95" s="44" t="e">
        <f t="shared" si="103"/>
        <v>#REF!</v>
      </c>
    </row>
    <row r="98" spans="1:10" x14ac:dyDescent="0.35">
      <c r="A98" s="69" t="s">
        <v>1008</v>
      </c>
      <c r="B98" s="69"/>
      <c r="C98" s="69"/>
      <c r="D98" s="69"/>
      <c r="E98" s="69"/>
      <c r="F98" s="69"/>
      <c r="G98" s="69"/>
      <c r="H98" s="69"/>
      <c r="I98" s="69"/>
      <c r="J98" s="69"/>
    </row>
    <row r="99" spans="1:10" x14ac:dyDescent="0.35">
      <c r="A99" s="69" t="s">
        <v>1004</v>
      </c>
      <c r="B99" s="69"/>
      <c r="C99" s="69"/>
      <c r="D99" s="69"/>
      <c r="E99" s="69"/>
      <c r="F99" s="69"/>
      <c r="G99" s="69"/>
      <c r="H99" s="69"/>
      <c r="I99" s="69"/>
      <c r="J99" s="69"/>
    </row>
    <row r="100" spans="1:10" x14ac:dyDescent="0.35">
      <c r="A100" s="69" t="s">
        <v>87</v>
      </c>
      <c r="B100" s="245">
        <f>B13</f>
        <v>484222484.44999999</v>
      </c>
      <c r="C100" s="245">
        <f t="shared" ref="C100:J100" si="104">C13</f>
        <v>-1465584265.96</v>
      </c>
      <c r="D100" s="245">
        <f t="shared" si="104"/>
        <v>674400.99</v>
      </c>
      <c r="E100" s="245">
        <f t="shared" si="104"/>
        <v>-980687380.51999998</v>
      </c>
      <c r="F100" s="245" t="e">
        <f t="shared" si="104"/>
        <v>#REF!</v>
      </c>
      <c r="G100" s="245" t="e">
        <f t="shared" si="104"/>
        <v>#REF!</v>
      </c>
      <c r="H100" s="245" t="e">
        <f t="shared" si="104"/>
        <v>#REF!</v>
      </c>
      <c r="I100" s="245" t="e">
        <f t="shared" si="104"/>
        <v>#REF!</v>
      </c>
      <c r="J100" s="245" t="e">
        <f t="shared" si="104"/>
        <v>#REF!</v>
      </c>
    </row>
    <row r="101" spans="1:10" x14ac:dyDescent="0.35">
      <c r="A101" s="69" t="s">
        <v>1005</v>
      </c>
      <c r="B101" s="245">
        <v>24272000</v>
      </c>
      <c r="C101" s="245">
        <v>-144750951.68000001</v>
      </c>
      <c r="D101" s="245">
        <v>0</v>
      </c>
      <c r="E101" s="245">
        <f>C101+B101</f>
        <v>-120478951.68000001</v>
      </c>
      <c r="F101" s="245">
        <v>24272000</v>
      </c>
      <c r="G101" s="245">
        <v>-144750951.68000001</v>
      </c>
      <c r="H101" s="245">
        <v>0</v>
      </c>
      <c r="I101" s="245">
        <f>G101+F101</f>
        <v>-120478951.68000001</v>
      </c>
      <c r="J101" s="245">
        <f>I101-E101</f>
        <v>0</v>
      </c>
    </row>
    <row r="102" spans="1:10" x14ac:dyDescent="0.35">
      <c r="A102" s="69" t="s">
        <v>1006</v>
      </c>
      <c r="B102" s="245">
        <f>B101+B100</f>
        <v>508494484.44999999</v>
      </c>
      <c r="C102" s="245">
        <f t="shared" ref="C102:J102" si="105">C101+C100</f>
        <v>-1610335217.6400001</v>
      </c>
      <c r="D102" s="245">
        <f t="shared" si="105"/>
        <v>674400.99</v>
      </c>
      <c r="E102" s="245">
        <f t="shared" si="105"/>
        <v>-1101166332.2</v>
      </c>
      <c r="F102" s="245" t="e">
        <f t="shared" si="105"/>
        <v>#REF!</v>
      </c>
      <c r="G102" s="245" t="e">
        <f t="shared" si="105"/>
        <v>#REF!</v>
      </c>
      <c r="H102" s="245" t="e">
        <f t="shared" si="105"/>
        <v>#REF!</v>
      </c>
      <c r="I102" s="245" t="e">
        <f t="shared" si="105"/>
        <v>#REF!</v>
      </c>
      <c r="J102" s="245" t="e">
        <f t="shared" si="105"/>
        <v>#REF!</v>
      </c>
    </row>
    <row r="103" spans="1:10" x14ac:dyDescent="0.35">
      <c r="A103" s="69" t="s">
        <v>1007</v>
      </c>
      <c r="B103" s="245"/>
      <c r="C103" s="245"/>
      <c r="D103" s="245"/>
      <c r="E103" s="245"/>
      <c r="F103" s="245"/>
      <c r="G103" s="245"/>
      <c r="H103" s="245"/>
      <c r="I103" s="245"/>
      <c r="J103" s="245"/>
    </row>
    <row r="104" spans="1:10" x14ac:dyDescent="0.35">
      <c r="A104" s="69" t="s">
        <v>87</v>
      </c>
      <c r="B104" s="245">
        <f>B62</f>
        <v>189420156.94000003</v>
      </c>
      <c r="C104" s="245">
        <f t="shared" ref="C104:J104" si="106">C62</f>
        <v>-1160446267.98</v>
      </c>
      <c r="D104" s="245">
        <f t="shared" si="106"/>
        <v>-29500856.68</v>
      </c>
      <c r="E104" s="245">
        <f t="shared" si="106"/>
        <v>-1000526967.7199999</v>
      </c>
      <c r="F104" s="245" t="e">
        <f t="shared" si="106"/>
        <v>#REF!</v>
      </c>
      <c r="G104" s="245" t="e">
        <f t="shared" si="106"/>
        <v>#REF!</v>
      </c>
      <c r="H104" s="245" t="e">
        <f t="shared" si="106"/>
        <v>#REF!</v>
      </c>
      <c r="I104" s="245" t="e">
        <f t="shared" si="106"/>
        <v>#REF!</v>
      </c>
      <c r="J104" s="245" t="e">
        <f t="shared" si="106"/>
        <v>#REF!</v>
      </c>
    </row>
    <row r="105" spans="1:10" x14ac:dyDescent="0.35">
      <c r="A105" s="69" t="s">
        <v>1005</v>
      </c>
      <c r="B105" s="245">
        <v>-24272000</v>
      </c>
      <c r="C105" s="245">
        <v>167175168.68000001</v>
      </c>
      <c r="D105" s="245">
        <v>0</v>
      </c>
      <c r="E105" s="245">
        <f>C105+B105</f>
        <v>142903168.68000001</v>
      </c>
      <c r="F105" s="245">
        <v>-24272000</v>
      </c>
      <c r="G105" s="245">
        <v>167175168.68000001</v>
      </c>
      <c r="H105" s="245">
        <v>0</v>
      </c>
      <c r="I105" s="245">
        <f>G105+F105</f>
        <v>142903168.68000001</v>
      </c>
      <c r="J105" s="245">
        <f>I105-E105</f>
        <v>0</v>
      </c>
    </row>
    <row r="106" spans="1:10" x14ac:dyDescent="0.35">
      <c r="A106" s="69" t="s">
        <v>1006</v>
      </c>
      <c r="B106" s="245">
        <f>B104+B105</f>
        <v>165148156.94000003</v>
      </c>
      <c r="C106" s="245">
        <f t="shared" ref="C106:J106" si="107">C104+C105</f>
        <v>-993271099.29999995</v>
      </c>
      <c r="D106" s="245">
        <f t="shared" si="107"/>
        <v>-29500856.68</v>
      </c>
      <c r="E106" s="245">
        <f t="shared" si="107"/>
        <v>-857623799.03999996</v>
      </c>
      <c r="F106" s="245" t="e">
        <f t="shared" si="107"/>
        <v>#REF!</v>
      </c>
      <c r="G106" s="245" t="e">
        <f t="shared" si="107"/>
        <v>#REF!</v>
      </c>
      <c r="H106" s="245" t="e">
        <f t="shared" si="107"/>
        <v>#REF!</v>
      </c>
      <c r="I106" s="245" t="e">
        <f t="shared" si="107"/>
        <v>#REF!</v>
      </c>
      <c r="J106" s="245" t="e">
        <f t="shared" si="107"/>
        <v>#REF!</v>
      </c>
    </row>
    <row r="107" spans="1:10" x14ac:dyDescent="0.35">
      <c r="B107" s="135"/>
      <c r="C107" s="135"/>
      <c r="D107" s="135"/>
      <c r="E107" s="135"/>
      <c r="F107" s="135"/>
      <c r="G107" s="135"/>
      <c r="H107" s="135"/>
      <c r="I107" s="135"/>
      <c r="J107" s="135"/>
    </row>
    <row r="108" spans="1:10" x14ac:dyDescent="0.35">
      <c r="A108" t="s">
        <v>1009</v>
      </c>
      <c r="B108" s="135"/>
      <c r="C108" s="135"/>
      <c r="D108" s="135"/>
      <c r="E108" s="135"/>
      <c r="F108" s="135"/>
      <c r="G108" s="135"/>
      <c r="H108" s="135"/>
      <c r="I108" s="135"/>
      <c r="J108" s="135"/>
    </row>
    <row r="109" spans="1:10" x14ac:dyDescent="0.35">
      <c r="A109" t="s">
        <v>1004</v>
      </c>
      <c r="B109" s="135"/>
      <c r="C109" s="135"/>
      <c r="D109" s="135"/>
      <c r="E109" s="135"/>
      <c r="F109" s="135"/>
      <c r="G109" s="135"/>
      <c r="H109" s="135"/>
      <c r="I109" s="135"/>
      <c r="J109" s="135"/>
    </row>
    <row r="110" spans="1:10" x14ac:dyDescent="0.35">
      <c r="A110" t="s">
        <v>87</v>
      </c>
      <c r="B110" s="135"/>
      <c r="C110" s="135">
        <v>-524775332</v>
      </c>
      <c r="D110" s="135"/>
      <c r="E110" s="135"/>
      <c r="F110" s="135"/>
      <c r="G110" s="135"/>
      <c r="H110" s="135"/>
      <c r="I110" s="135"/>
      <c r="J110" s="135"/>
    </row>
    <row r="111" spans="1:10" x14ac:dyDescent="0.35">
      <c r="A111" t="s">
        <v>1005</v>
      </c>
      <c r="B111" s="135"/>
      <c r="C111" s="135">
        <v>-16954214.02</v>
      </c>
      <c r="D111" s="135"/>
      <c r="E111" s="135"/>
      <c r="F111" s="135"/>
      <c r="G111" s="135"/>
      <c r="H111" s="135"/>
      <c r="I111" s="135"/>
      <c r="J111" s="135"/>
    </row>
    <row r="112" spans="1:10" x14ac:dyDescent="0.35">
      <c r="A112" t="s">
        <v>1006</v>
      </c>
      <c r="B112" s="135"/>
      <c r="C112" s="135">
        <f>C110+C111</f>
        <v>-541729546.01999998</v>
      </c>
      <c r="D112" s="135"/>
      <c r="E112" s="135"/>
      <c r="F112" s="135"/>
      <c r="G112" s="135"/>
      <c r="H112" s="135"/>
      <c r="I112" s="135"/>
      <c r="J112" s="135"/>
    </row>
    <row r="113" spans="1:10" x14ac:dyDescent="0.35">
      <c r="A113" t="s">
        <v>1010</v>
      </c>
      <c r="B113" s="135"/>
      <c r="C113" s="135">
        <f>-524775332+61404292-41909715.57-14964841.49</f>
        <v>-520245597.06</v>
      </c>
      <c r="D113" s="135"/>
      <c r="E113" s="135"/>
      <c r="F113" s="135"/>
      <c r="G113" s="135"/>
      <c r="H113" s="135"/>
      <c r="I113" s="135"/>
      <c r="J113" s="135"/>
    </row>
    <row r="114" spans="1:10" x14ac:dyDescent="0.35">
      <c r="A114" t="s">
        <v>1011</v>
      </c>
      <c r="B114" s="135"/>
      <c r="C114" s="135">
        <f>41909715.57-1989372.53</f>
        <v>39920343.039999999</v>
      </c>
      <c r="D114" s="135"/>
      <c r="E114" s="135"/>
      <c r="F114" s="135"/>
      <c r="G114" s="135"/>
      <c r="H114" s="135"/>
      <c r="I114" s="135"/>
      <c r="J114" s="135"/>
    </row>
    <row r="115" spans="1:10" x14ac:dyDescent="0.35">
      <c r="A115" t="s">
        <v>1012</v>
      </c>
      <c r="B115" s="135"/>
      <c r="C115" s="135">
        <v>-61404292</v>
      </c>
      <c r="D115" s="135"/>
      <c r="E115" s="135"/>
      <c r="F115" s="135"/>
      <c r="G115" s="135"/>
      <c r="H115" s="135"/>
      <c r="I115" s="135"/>
      <c r="J115" s="135"/>
    </row>
    <row r="116" spans="1:10" x14ac:dyDescent="0.35">
      <c r="A116" s="243" t="s">
        <v>1013</v>
      </c>
      <c r="B116" s="244"/>
      <c r="C116" s="244">
        <f>C115+C114+C113-C112</f>
        <v>0</v>
      </c>
      <c r="D116" s="135"/>
      <c r="E116" s="135"/>
      <c r="F116" s="135"/>
      <c r="G116" s="135"/>
      <c r="H116" s="135"/>
      <c r="I116" s="135"/>
      <c r="J116" s="135"/>
    </row>
    <row r="117" spans="1:10" x14ac:dyDescent="0.35">
      <c r="B117" s="135"/>
      <c r="C117" s="135"/>
      <c r="D117" s="135"/>
      <c r="E117" s="135"/>
      <c r="F117" s="135"/>
      <c r="G117" s="135"/>
      <c r="H117" s="135"/>
      <c r="I117" s="135"/>
      <c r="J117" s="135"/>
    </row>
    <row r="118" spans="1:10" x14ac:dyDescent="0.35">
      <c r="A118" t="s">
        <v>1007</v>
      </c>
      <c r="B118" s="135"/>
      <c r="C118" s="135"/>
      <c r="D118" s="135"/>
      <c r="E118" s="135"/>
      <c r="F118" s="135"/>
      <c r="G118" s="135"/>
      <c r="H118" s="135"/>
      <c r="I118" s="135"/>
      <c r="J118" s="135"/>
    </row>
    <row r="119" spans="1:10" x14ac:dyDescent="0.35">
      <c r="A119" t="s">
        <v>87</v>
      </c>
      <c r="B119" s="135"/>
      <c r="C119" s="135">
        <v>-282718097</v>
      </c>
      <c r="D119" s="135"/>
      <c r="E119" s="135"/>
      <c r="F119" s="135"/>
      <c r="G119" s="135"/>
      <c r="H119" s="135"/>
      <c r="I119" s="135"/>
      <c r="J119" s="135"/>
    </row>
    <row r="120" spans="1:10" x14ac:dyDescent="0.35">
      <c r="A120" t="s">
        <v>1005</v>
      </c>
      <c r="B120" s="135"/>
      <c r="C120" s="135">
        <v>22696012.379999999</v>
      </c>
      <c r="D120" s="135"/>
      <c r="E120" s="135"/>
      <c r="F120" s="135"/>
      <c r="G120" s="135"/>
      <c r="H120" s="135"/>
      <c r="I120" s="135"/>
      <c r="J120" s="135"/>
    </row>
    <row r="121" spans="1:10" x14ac:dyDescent="0.35">
      <c r="A121" t="s">
        <v>1006</v>
      </c>
      <c r="B121" s="135"/>
      <c r="C121" s="135">
        <f>C119+C120</f>
        <v>-260022084.62</v>
      </c>
      <c r="D121" s="135"/>
      <c r="E121" s="135"/>
      <c r="F121" s="135"/>
      <c r="G121" s="135"/>
      <c r="H121" s="135"/>
      <c r="I121" s="135"/>
      <c r="J121" s="135"/>
    </row>
    <row r="122" spans="1:10" x14ac:dyDescent="0.35">
      <c r="A122" t="s">
        <v>1010</v>
      </c>
      <c r="B122" s="135"/>
      <c r="C122" s="135">
        <f>-282718097+33245389-137388479.68+14964841.49</f>
        <v>-371896346.19</v>
      </c>
      <c r="D122" s="135"/>
      <c r="E122" s="135"/>
      <c r="F122" s="135"/>
      <c r="G122" s="135"/>
      <c r="H122" s="135"/>
      <c r="I122" s="135"/>
      <c r="J122" s="135"/>
    </row>
    <row r="123" spans="1:10" x14ac:dyDescent="0.35">
      <c r="A123" t="s">
        <v>1011</v>
      </c>
      <c r="B123" s="135"/>
      <c r="C123" s="135">
        <f>137388479.68+7731170.89</f>
        <v>145119650.56999999</v>
      </c>
      <c r="D123" s="135"/>
      <c r="E123" s="135"/>
      <c r="F123" s="135"/>
      <c r="G123" s="135"/>
      <c r="H123" s="135"/>
      <c r="I123" s="135"/>
      <c r="J123" s="135"/>
    </row>
    <row r="124" spans="1:10" x14ac:dyDescent="0.35">
      <c r="A124" t="s">
        <v>1012</v>
      </c>
      <c r="B124" s="135"/>
      <c r="C124" s="135">
        <v>-33245389</v>
      </c>
      <c r="D124" s="135"/>
      <c r="E124" s="135"/>
      <c r="F124" s="135"/>
      <c r="G124" s="135"/>
      <c r="H124" s="135"/>
      <c r="I124" s="135"/>
      <c r="J124" s="135"/>
    </row>
    <row r="125" spans="1:10" x14ac:dyDescent="0.35">
      <c r="A125" s="243" t="s">
        <v>1013</v>
      </c>
      <c r="B125" s="244"/>
      <c r="C125" s="244">
        <f>C124+C123+C122-C121</f>
        <v>0</v>
      </c>
      <c r="D125" s="135"/>
      <c r="E125" s="135"/>
      <c r="F125" s="135"/>
      <c r="G125" s="135"/>
      <c r="H125" s="135"/>
      <c r="I125" s="135"/>
      <c r="J125" s="135"/>
    </row>
    <row r="126" spans="1:10" x14ac:dyDescent="0.35">
      <c r="B126" s="135"/>
      <c r="C126" s="135"/>
      <c r="D126" s="135"/>
      <c r="E126" s="135"/>
      <c r="F126" s="135"/>
      <c r="G126" s="135"/>
      <c r="H126" s="135"/>
      <c r="I126" s="135"/>
      <c r="J126" s="135"/>
    </row>
    <row r="127" spans="1:10" x14ac:dyDescent="0.35">
      <c r="A127" s="69" t="s">
        <v>1014</v>
      </c>
      <c r="B127" s="69"/>
      <c r="C127" s="69"/>
      <c r="D127" s="69"/>
      <c r="E127" s="69"/>
      <c r="F127" s="69"/>
      <c r="G127" s="69"/>
      <c r="H127" s="69"/>
      <c r="I127" s="69"/>
      <c r="J127" s="69"/>
    </row>
    <row r="128" spans="1:10" x14ac:dyDescent="0.35">
      <c r="A128" s="69" t="s">
        <v>1004</v>
      </c>
      <c r="B128" s="69"/>
      <c r="C128" s="69"/>
      <c r="D128" s="69"/>
      <c r="E128" s="69"/>
      <c r="F128" s="69"/>
      <c r="G128" s="69"/>
      <c r="H128" s="69"/>
      <c r="I128" s="69"/>
      <c r="J128" s="69"/>
    </row>
    <row r="129" spans="1:10" x14ac:dyDescent="0.35">
      <c r="A129" s="69" t="s">
        <v>87</v>
      </c>
      <c r="B129" s="246">
        <f>B100/1000</f>
        <v>484222.48444999999</v>
      </c>
      <c r="C129" s="246">
        <f t="shared" ref="C129:J129" si="108">C100/1000</f>
        <v>-1465584.26596</v>
      </c>
      <c r="D129" s="246">
        <f t="shared" si="108"/>
        <v>674.40098999999998</v>
      </c>
      <c r="E129" s="246">
        <f t="shared" si="108"/>
        <v>-980687.38052000001</v>
      </c>
      <c r="F129" s="246" t="e">
        <f t="shared" si="108"/>
        <v>#REF!</v>
      </c>
      <c r="G129" s="246" t="e">
        <f t="shared" si="108"/>
        <v>#REF!</v>
      </c>
      <c r="H129" s="246" t="e">
        <f t="shared" si="108"/>
        <v>#REF!</v>
      </c>
      <c r="I129" s="246" t="e">
        <f t="shared" si="108"/>
        <v>#REF!</v>
      </c>
      <c r="J129" s="245" t="e">
        <f t="shared" si="108"/>
        <v>#REF!</v>
      </c>
    </row>
    <row r="130" spans="1:10" x14ac:dyDescent="0.35">
      <c r="A130" s="69" t="s">
        <v>1005</v>
      </c>
      <c r="B130" s="246">
        <f t="shared" ref="B130:J130" si="109">B101/1000</f>
        <v>24272</v>
      </c>
      <c r="C130" s="246">
        <f t="shared" si="109"/>
        <v>-144750.95168</v>
      </c>
      <c r="D130" s="246">
        <f t="shared" si="109"/>
        <v>0</v>
      </c>
      <c r="E130" s="246">
        <f t="shared" si="109"/>
        <v>-120478.95168000001</v>
      </c>
      <c r="F130" s="246">
        <f t="shared" si="109"/>
        <v>24272</v>
      </c>
      <c r="G130" s="246">
        <f t="shared" si="109"/>
        <v>-144750.95168</v>
      </c>
      <c r="H130" s="246">
        <f t="shared" si="109"/>
        <v>0</v>
      </c>
      <c r="I130" s="246">
        <f t="shared" si="109"/>
        <v>-120478.95168000001</v>
      </c>
      <c r="J130" s="245">
        <f t="shared" si="109"/>
        <v>0</v>
      </c>
    </row>
    <row r="131" spans="1:10" x14ac:dyDescent="0.35">
      <c r="A131" s="69" t="s">
        <v>1006</v>
      </c>
      <c r="B131" s="246">
        <f t="shared" ref="B131:J131" si="110">B102/1000</f>
        <v>508494.48444999999</v>
      </c>
      <c r="C131" s="246">
        <f t="shared" si="110"/>
        <v>-1610335.2176400002</v>
      </c>
      <c r="D131" s="246">
        <f t="shared" si="110"/>
        <v>674.40098999999998</v>
      </c>
      <c r="E131" s="246">
        <f t="shared" si="110"/>
        <v>-1101166.3322000001</v>
      </c>
      <c r="F131" s="246" t="e">
        <f t="shared" si="110"/>
        <v>#REF!</v>
      </c>
      <c r="G131" s="246" t="e">
        <f t="shared" si="110"/>
        <v>#REF!</v>
      </c>
      <c r="H131" s="246" t="e">
        <f t="shared" si="110"/>
        <v>#REF!</v>
      </c>
      <c r="I131" s="246" t="e">
        <f t="shared" si="110"/>
        <v>#REF!</v>
      </c>
      <c r="J131" s="245" t="e">
        <f t="shared" si="110"/>
        <v>#REF!</v>
      </c>
    </row>
    <row r="132" spans="1:10" x14ac:dyDescent="0.35">
      <c r="A132" s="69" t="s">
        <v>1007</v>
      </c>
      <c r="B132" s="246"/>
      <c r="C132" s="246"/>
      <c r="D132" s="246"/>
      <c r="E132" s="246"/>
      <c r="F132" s="246"/>
      <c r="G132" s="246"/>
      <c r="H132" s="246"/>
      <c r="I132" s="246"/>
      <c r="J132" s="245"/>
    </row>
    <row r="133" spans="1:10" x14ac:dyDescent="0.35">
      <c r="A133" s="69" t="s">
        <v>87</v>
      </c>
      <c r="B133" s="246">
        <f t="shared" ref="B133:J133" si="111">B104/1000</f>
        <v>189420.15694000002</v>
      </c>
      <c r="C133" s="246">
        <f t="shared" si="111"/>
        <v>-1160446.26798</v>
      </c>
      <c r="D133" s="246">
        <f t="shared" si="111"/>
        <v>-29500.856680000001</v>
      </c>
      <c r="E133" s="246">
        <f t="shared" si="111"/>
        <v>-1000526.96772</v>
      </c>
      <c r="F133" s="246" t="e">
        <f t="shared" si="111"/>
        <v>#REF!</v>
      </c>
      <c r="G133" s="246" t="e">
        <f t="shared" si="111"/>
        <v>#REF!</v>
      </c>
      <c r="H133" s="246" t="e">
        <f t="shared" si="111"/>
        <v>#REF!</v>
      </c>
      <c r="I133" s="246" t="e">
        <f t="shared" si="111"/>
        <v>#REF!</v>
      </c>
      <c r="J133" s="245" t="e">
        <f t="shared" si="111"/>
        <v>#REF!</v>
      </c>
    </row>
    <row r="134" spans="1:10" x14ac:dyDescent="0.35">
      <c r="A134" s="69" t="s">
        <v>1005</v>
      </c>
      <c r="B134" s="246">
        <f t="shared" ref="B134:J134" si="112">B105/1000</f>
        <v>-24272</v>
      </c>
      <c r="C134" s="246">
        <f t="shared" si="112"/>
        <v>167175.16868</v>
      </c>
      <c r="D134" s="246">
        <f t="shared" si="112"/>
        <v>0</v>
      </c>
      <c r="E134" s="246">
        <f t="shared" si="112"/>
        <v>142903.16868</v>
      </c>
      <c r="F134" s="246">
        <f t="shared" si="112"/>
        <v>-24272</v>
      </c>
      <c r="G134" s="246">
        <f t="shared" si="112"/>
        <v>167175.16868</v>
      </c>
      <c r="H134" s="246">
        <f t="shared" si="112"/>
        <v>0</v>
      </c>
      <c r="I134" s="246">
        <f t="shared" si="112"/>
        <v>142903.16868</v>
      </c>
      <c r="J134" s="245">
        <f t="shared" si="112"/>
        <v>0</v>
      </c>
    </row>
    <row r="135" spans="1:10" x14ac:dyDescent="0.35">
      <c r="A135" s="69" t="s">
        <v>1006</v>
      </c>
      <c r="B135" s="246">
        <f t="shared" ref="B135:J135" si="113">B106/1000</f>
        <v>165148.15694000002</v>
      </c>
      <c r="C135" s="246">
        <f t="shared" si="113"/>
        <v>-993271.0993</v>
      </c>
      <c r="D135" s="246">
        <f t="shared" si="113"/>
        <v>-29500.856680000001</v>
      </c>
      <c r="E135" s="246">
        <f t="shared" si="113"/>
        <v>-857623.79903999995</v>
      </c>
      <c r="F135" s="246" t="e">
        <f t="shared" si="113"/>
        <v>#REF!</v>
      </c>
      <c r="G135" s="246" t="e">
        <f t="shared" si="113"/>
        <v>#REF!</v>
      </c>
      <c r="H135" s="246" t="e">
        <f t="shared" si="113"/>
        <v>#REF!</v>
      </c>
      <c r="I135" s="246" t="e">
        <f t="shared" si="113"/>
        <v>#REF!</v>
      </c>
      <c r="J135" s="245" t="e">
        <f t="shared" si="113"/>
        <v>#REF!</v>
      </c>
    </row>
    <row r="136" spans="1:10" x14ac:dyDescent="0.35">
      <c r="B136" s="135"/>
      <c r="C136" s="135"/>
      <c r="D136" s="135"/>
      <c r="E136" s="135"/>
      <c r="F136" s="135"/>
      <c r="G136" s="135"/>
      <c r="H136" s="135"/>
      <c r="I136" s="135"/>
      <c r="J136" s="135"/>
    </row>
    <row r="137" spans="1:10" x14ac:dyDescent="0.35">
      <c r="B137" s="135"/>
      <c r="C137" s="135"/>
      <c r="D137" s="135"/>
      <c r="E137" s="135"/>
      <c r="F137" s="135"/>
      <c r="G137" s="135"/>
      <c r="H137" s="135"/>
      <c r="I137" s="135"/>
      <c r="J137" s="135"/>
    </row>
    <row r="138" spans="1:10" x14ac:dyDescent="0.35">
      <c r="B138" s="135"/>
      <c r="C138" s="135"/>
      <c r="D138" s="135"/>
      <c r="E138" s="135"/>
      <c r="F138" s="135"/>
      <c r="G138" s="135"/>
      <c r="H138" s="135"/>
      <c r="I138" s="135"/>
      <c r="J138" s="135"/>
    </row>
    <row r="139" spans="1:10" x14ac:dyDescent="0.35">
      <c r="B139" s="135"/>
      <c r="C139" s="135"/>
      <c r="D139" s="135"/>
      <c r="E139" s="135"/>
      <c r="F139" s="135"/>
      <c r="G139" s="135"/>
      <c r="H139" s="135"/>
      <c r="I139" s="135"/>
      <c r="J139" s="135"/>
    </row>
    <row r="140" spans="1:10" x14ac:dyDescent="0.35">
      <c r="B140" s="135"/>
      <c r="C140" s="135"/>
      <c r="D140" s="135"/>
      <c r="E140" s="135"/>
      <c r="F140" s="135"/>
      <c r="G140" s="135"/>
      <c r="H140" s="135"/>
      <c r="I140" s="135"/>
      <c r="J140" s="135"/>
    </row>
    <row r="141" spans="1:10" x14ac:dyDescent="0.35">
      <c r="B141" s="135"/>
      <c r="C141" s="135"/>
      <c r="D141" s="135"/>
      <c r="E141" s="135"/>
      <c r="F141" s="135"/>
      <c r="G141" s="135"/>
      <c r="H141" s="135"/>
      <c r="I141" s="135"/>
      <c r="J141" s="135"/>
    </row>
    <row r="142" spans="1:10" x14ac:dyDescent="0.35">
      <c r="B142" s="135"/>
      <c r="C142" s="135"/>
      <c r="D142" s="135"/>
      <c r="E142" s="135"/>
      <c r="F142" s="135"/>
      <c r="G142" s="135"/>
      <c r="H142" s="135"/>
      <c r="I142" s="135"/>
      <c r="J142" s="135"/>
    </row>
    <row r="143" spans="1:10" x14ac:dyDescent="0.35">
      <c r="B143" s="135"/>
      <c r="C143" s="135"/>
      <c r="D143" s="135"/>
      <c r="E143" s="135"/>
      <c r="F143" s="135"/>
      <c r="G143" s="135"/>
      <c r="H143" s="135"/>
      <c r="I143" s="135"/>
      <c r="J143" s="135"/>
    </row>
    <row r="144" spans="1:10" x14ac:dyDescent="0.35">
      <c r="B144" s="135"/>
      <c r="C144" s="135"/>
      <c r="D144" s="135"/>
      <c r="E144" s="135"/>
      <c r="F144" s="135"/>
      <c r="G144" s="135"/>
      <c r="H144" s="135"/>
      <c r="I144" s="135"/>
      <c r="J144" s="135"/>
    </row>
    <row r="145" spans="2:10" x14ac:dyDescent="0.35">
      <c r="B145" s="135"/>
      <c r="C145" s="135"/>
      <c r="D145" s="135"/>
      <c r="E145" s="135"/>
      <c r="F145" s="135"/>
      <c r="G145" s="135"/>
      <c r="H145" s="135"/>
      <c r="I145" s="135"/>
      <c r="J145" s="135"/>
    </row>
    <row r="146" spans="2:10" x14ac:dyDescent="0.35">
      <c r="B146" s="135"/>
      <c r="C146" s="135"/>
      <c r="D146" s="135"/>
      <c r="E146" s="135"/>
      <c r="F146" s="135"/>
      <c r="G146" s="135"/>
      <c r="H146" s="135"/>
      <c r="I146" s="135"/>
      <c r="J146" s="135"/>
    </row>
    <row r="147" spans="2:10" x14ac:dyDescent="0.35">
      <c r="B147" s="135"/>
      <c r="C147" s="135"/>
      <c r="D147" s="135"/>
      <c r="E147" s="135"/>
      <c r="F147" s="135"/>
      <c r="G147" s="135"/>
      <c r="H147" s="135"/>
      <c r="I147" s="135"/>
      <c r="J147" s="135"/>
    </row>
    <row r="148" spans="2:10" x14ac:dyDescent="0.35">
      <c r="B148" s="135"/>
      <c r="C148" s="135"/>
      <c r="D148" s="135"/>
      <c r="E148" s="135"/>
      <c r="F148" s="135"/>
      <c r="G148" s="135"/>
      <c r="H148" s="135"/>
      <c r="I148" s="135"/>
      <c r="J148" s="135"/>
    </row>
    <row r="149" spans="2:10" x14ac:dyDescent="0.35">
      <c r="B149" s="135"/>
      <c r="C149" s="135"/>
      <c r="D149" s="135"/>
      <c r="E149" s="135"/>
      <c r="F149" s="135"/>
      <c r="G149" s="135"/>
      <c r="H149" s="135"/>
      <c r="I149" s="135"/>
      <c r="J149" s="135"/>
    </row>
    <row r="150" spans="2:10" x14ac:dyDescent="0.35">
      <c r="B150" s="135"/>
      <c r="C150" s="135"/>
      <c r="D150" s="135"/>
      <c r="E150" s="135"/>
      <c r="F150" s="135"/>
      <c r="G150" s="135"/>
      <c r="H150" s="135"/>
      <c r="I150" s="135"/>
      <c r="J150" s="135"/>
    </row>
    <row r="151" spans="2:10" x14ac:dyDescent="0.35">
      <c r="B151" s="135"/>
      <c r="C151" s="135"/>
      <c r="D151" s="135"/>
      <c r="E151" s="135"/>
      <c r="F151" s="135"/>
      <c r="G151" s="135"/>
      <c r="H151" s="135"/>
      <c r="I151" s="135"/>
      <c r="J151" s="135"/>
    </row>
    <row r="152" spans="2:10" x14ac:dyDescent="0.35">
      <c r="B152" s="135"/>
      <c r="C152" s="135"/>
      <c r="D152" s="135"/>
      <c r="E152" s="135"/>
      <c r="F152" s="135"/>
      <c r="G152" s="135"/>
      <c r="H152" s="135"/>
      <c r="I152" s="135"/>
      <c r="J152" s="135"/>
    </row>
    <row r="153" spans="2:10" x14ac:dyDescent="0.35">
      <c r="B153" s="135"/>
      <c r="C153" s="135"/>
      <c r="D153" s="135"/>
      <c r="E153" s="135"/>
      <c r="F153" s="135"/>
      <c r="G153" s="135"/>
      <c r="H153" s="135"/>
      <c r="I153" s="135"/>
      <c r="J153" s="135"/>
    </row>
    <row r="154" spans="2:10" x14ac:dyDescent="0.35">
      <c r="B154" s="135"/>
      <c r="C154" s="135"/>
      <c r="D154" s="135"/>
      <c r="E154" s="135"/>
      <c r="F154" s="135"/>
      <c r="G154" s="135"/>
      <c r="H154" s="135"/>
      <c r="I154" s="135"/>
      <c r="J154" s="135"/>
    </row>
    <row r="155" spans="2:10" x14ac:dyDescent="0.35">
      <c r="B155" s="135"/>
      <c r="C155" s="135"/>
      <c r="D155" s="135"/>
      <c r="E155" s="135"/>
      <c r="F155" s="135"/>
      <c r="G155" s="135"/>
      <c r="H155" s="135"/>
      <c r="I155" s="135"/>
      <c r="J155" s="135"/>
    </row>
    <row r="156" spans="2:10" x14ac:dyDescent="0.35">
      <c r="B156" s="135"/>
      <c r="C156" s="135"/>
      <c r="D156" s="135"/>
      <c r="E156" s="135"/>
      <c r="F156" s="135"/>
      <c r="G156" s="135"/>
      <c r="H156" s="135"/>
      <c r="I156" s="135"/>
      <c r="J156" s="135"/>
    </row>
    <row r="157" spans="2:10" x14ac:dyDescent="0.35">
      <c r="B157" s="135"/>
      <c r="C157" s="135"/>
      <c r="D157" s="135"/>
      <c r="E157" s="135"/>
      <c r="F157" s="135"/>
      <c r="G157" s="135"/>
      <c r="H157" s="135"/>
      <c r="I157" s="135"/>
      <c r="J157" s="135"/>
    </row>
    <row r="158" spans="2:10" x14ac:dyDescent="0.35">
      <c r="B158" s="135"/>
      <c r="C158" s="135"/>
      <c r="D158" s="135"/>
      <c r="E158" s="135"/>
      <c r="F158" s="135"/>
      <c r="G158" s="135"/>
      <c r="H158" s="135"/>
      <c r="I158" s="135"/>
      <c r="J158" s="135"/>
    </row>
  </sheetData>
  <mergeCells count="8">
    <mergeCell ref="B52:E52"/>
    <mergeCell ref="F52:I52"/>
    <mergeCell ref="B75:E75"/>
    <mergeCell ref="F75:I75"/>
    <mergeCell ref="F3:I3"/>
    <mergeCell ref="B3:E3"/>
    <mergeCell ref="B26:E26"/>
    <mergeCell ref="F26:I2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086A9-CF0E-4B82-AA53-D93B7E26FB31}">
  <dimension ref="A1:C31"/>
  <sheetViews>
    <sheetView topLeftCell="A2" workbookViewId="0">
      <pane xSplit="1" ySplit="4" topLeftCell="B19" activePane="bottomRight" state="frozen"/>
      <selection activeCell="A2" sqref="A2"/>
      <selection pane="topRight" activeCell="B2" sqref="B2"/>
      <selection pane="bottomLeft" activeCell="A7" sqref="A7"/>
      <selection pane="bottomRight" activeCell="A31" sqref="A31"/>
    </sheetView>
  </sheetViews>
  <sheetFormatPr defaultRowHeight="14.5" x14ac:dyDescent="0.35"/>
  <cols>
    <col min="1" max="1" width="58.26953125" customWidth="1"/>
    <col min="2" max="2" width="12.7265625" customWidth="1"/>
    <col min="3" max="3" width="14.54296875" customWidth="1"/>
  </cols>
  <sheetData>
    <row r="1" spans="1:3" x14ac:dyDescent="0.35">
      <c r="A1" s="22" t="s">
        <v>36</v>
      </c>
    </row>
    <row r="2" spans="1:3" x14ac:dyDescent="0.35">
      <c r="A2" s="22" t="s">
        <v>1185</v>
      </c>
    </row>
    <row r="3" spans="1:3" x14ac:dyDescent="0.35">
      <c r="A3" s="45" t="s">
        <v>0</v>
      </c>
      <c r="C3" s="46"/>
    </row>
    <row r="4" spans="1:3" x14ac:dyDescent="0.35">
      <c r="A4" s="22"/>
      <c r="B4" s="256">
        <v>11</v>
      </c>
      <c r="C4" s="256">
        <v>11</v>
      </c>
    </row>
    <row r="5" spans="1:3" ht="52.5" customHeight="1" x14ac:dyDescent="0.35">
      <c r="A5" s="263"/>
      <c r="B5" s="264" t="s">
        <v>94</v>
      </c>
      <c r="C5" s="264" t="s">
        <v>803</v>
      </c>
    </row>
    <row r="6" spans="1:3" x14ac:dyDescent="0.35">
      <c r="A6" s="47" t="s">
        <v>95</v>
      </c>
      <c r="B6" s="39">
        <f>'RETA aruanne'!C5</f>
        <v>17726110</v>
      </c>
      <c r="C6" s="39">
        <f>'RETA aruanne'!C11+'RETA aruanne'!C64</f>
        <v>-337339762</v>
      </c>
    </row>
    <row r="7" spans="1:3" x14ac:dyDescent="0.35">
      <c r="A7" s="47" t="s">
        <v>96</v>
      </c>
      <c r="B7" s="39"/>
      <c r="C7" s="39">
        <f>yleviimised!P15*-1</f>
        <v>-90007067.299999997</v>
      </c>
    </row>
    <row r="8" spans="1:3" x14ac:dyDescent="0.35">
      <c r="A8" s="47" t="s">
        <v>1082</v>
      </c>
      <c r="B8" s="39"/>
      <c r="C8" s="39">
        <v>-10165457</v>
      </c>
    </row>
    <row r="9" spans="1:3" x14ac:dyDescent="0.35">
      <c r="A9" s="47" t="s">
        <v>1145</v>
      </c>
      <c r="B9" s="39"/>
      <c r="C9" s="39">
        <v>4897052</v>
      </c>
    </row>
    <row r="10" spans="1:3" x14ac:dyDescent="0.35">
      <c r="A10" s="257" t="s">
        <v>888</v>
      </c>
      <c r="B10" s="39"/>
      <c r="C10" s="39"/>
    </row>
    <row r="11" spans="1:3" x14ac:dyDescent="0.35">
      <c r="A11" s="257" t="s">
        <v>97</v>
      </c>
      <c r="B11" s="39"/>
      <c r="C11" s="39">
        <v>-4189771.43</v>
      </c>
    </row>
    <row r="12" spans="1:3" x14ac:dyDescent="0.35">
      <c r="A12" s="47" t="s">
        <v>98</v>
      </c>
      <c r="B12" s="39"/>
      <c r="C12" s="48">
        <v>14858669</v>
      </c>
    </row>
    <row r="13" spans="1:3" x14ac:dyDescent="0.35">
      <c r="A13" s="47" t="s">
        <v>99</v>
      </c>
      <c r="B13" s="39"/>
      <c r="C13" s="48">
        <v>-16147592.17</v>
      </c>
    </row>
    <row r="14" spans="1:3" x14ac:dyDescent="0.35">
      <c r="A14" s="47" t="s">
        <v>787</v>
      </c>
      <c r="B14" s="39"/>
      <c r="C14" s="48">
        <f>2829436+15540336-14858669</f>
        <v>3511103</v>
      </c>
    </row>
    <row r="15" spans="1:3" x14ac:dyDescent="0.35">
      <c r="A15" s="47" t="s">
        <v>788</v>
      </c>
      <c r="B15" s="39"/>
      <c r="C15" s="48">
        <v>-2758781.44</v>
      </c>
    </row>
    <row r="16" spans="1:3" x14ac:dyDescent="0.35">
      <c r="A16" s="47" t="s">
        <v>100</v>
      </c>
      <c r="B16" s="39"/>
      <c r="C16" s="48">
        <v>5864001</v>
      </c>
    </row>
    <row r="17" spans="1:3" x14ac:dyDescent="0.35">
      <c r="A17" s="47" t="s">
        <v>101</v>
      </c>
      <c r="B17" s="39"/>
      <c r="C17" s="48"/>
    </row>
    <row r="18" spans="1:3" x14ac:dyDescent="0.35">
      <c r="A18" s="47" t="s">
        <v>102</v>
      </c>
      <c r="B18" s="39"/>
      <c r="C18" s="48"/>
    </row>
    <row r="19" spans="1:3" x14ac:dyDescent="0.35">
      <c r="A19" s="47" t="s">
        <v>103</v>
      </c>
      <c r="B19" s="39"/>
      <c r="C19" s="48">
        <v>2712500</v>
      </c>
    </row>
    <row r="20" spans="1:3" x14ac:dyDescent="0.35">
      <c r="A20" s="47" t="s">
        <v>104</v>
      </c>
      <c r="B20" s="39"/>
      <c r="C20" s="48">
        <v>-3153978.39</v>
      </c>
    </row>
    <row r="21" spans="1:3" x14ac:dyDescent="0.35">
      <c r="A21" s="47" t="s">
        <v>105</v>
      </c>
      <c r="B21" s="39"/>
      <c r="C21" s="48"/>
    </row>
    <row r="22" spans="1:3" x14ac:dyDescent="0.35">
      <c r="A22" s="47" t="s">
        <v>890</v>
      </c>
      <c r="B22" s="39"/>
      <c r="C22" s="48"/>
    </row>
    <row r="23" spans="1:3" x14ac:dyDescent="0.35">
      <c r="A23" s="47" t="s">
        <v>106</v>
      </c>
      <c r="B23" s="39"/>
      <c r="C23" s="48"/>
    </row>
    <row r="24" spans="1:3" x14ac:dyDescent="0.35">
      <c r="A24" s="47" t="s">
        <v>107</v>
      </c>
      <c r="B24" s="39"/>
      <c r="C24" s="39"/>
    </row>
    <row r="25" spans="1:3" x14ac:dyDescent="0.35">
      <c r="A25" s="47" t="s">
        <v>108</v>
      </c>
      <c r="B25" s="39"/>
      <c r="C25" s="39"/>
    </row>
    <row r="26" spans="1:3" x14ac:dyDescent="0.35">
      <c r="A26" s="47" t="s">
        <v>109</v>
      </c>
      <c r="B26" s="39"/>
      <c r="C26" s="39"/>
    </row>
    <row r="27" spans="1:3" x14ac:dyDescent="0.35">
      <c r="A27" s="47" t="s">
        <v>110</v>
      </c>
      <c r="B27" s="39"/>
      <c r="C27" s="39"/>
    </row>
    <row r="28" spans="1:3" x14ac:dyDescent="0.35">
      <c r="A28" s="49" t="s">
        <v>111</v>
      </c>
      <c r="B28" s="50">
        <f t="shared" ref="B28:C28" si="0">SUM(B6:B27)</f>
        <v>17726110</v>
      </c>
      <c r="C28" s="50">
        <f t="shared" si="0"/>
        <v>-431919084.73000002</v>
      </c>
    </row>
    <row r="29" spans="1:3" s="253" customFormat="1" x14ac:dyDescent="0.35">
      <c r="A29" s="258"/>
      <c r="B29" s="258">
        <f>'RETA aruanne'!D5</f>
        <v>17726110</v>
      </c>
      <c r="C29" s="258">
        <f>'RETA aruanne'!D11+'RETA aruanne'!D64</f>
        <v>-431919085.02999997</v>
      </c>
    </row>
    <row r="30" spans="1:3" s="253" customFormat="1" x14ac:dyDescent="0.35">
      <c r="A30" s="258"/>
      <c r="B30" s="258">
        <f t="shared" ref="B30:C30" si="1">B28-B29</f>
        <v>0</v>
      </c>
      <c r="C30" s="258">
        <f t="shared" si="1"/>
        <v>0.29999995231628418</v>
      </c>
    </row>
    <row r="31" spans="1:3" x14ac:dyDescent="0.35">
      <c r="B31" s="26"/>
      <c r="C31" s="2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5352C-D577-4AC0-AB2D-448D0F264886}">
  <dimension ref="A1:R487"/>
  <sheetViews>
    <sheetView workbookViewId="0">
      <pane ySplit="4" topLeftCell="A489" activePane="bottomLeft" state="frozen"/>
      <selection pane="bottomLeft" activeCell="C501" sqref="C501"/>
    </sheetView>
  </sheetViews>
  <sheetFormatPr defaultColWidth="9.1796875" defaultRowHeight="14.5" x14ac:dyDescent="0.35"/>
  <cols>
    <col min="1" max="2" width="5.7265625" style="267" customWidth="1"/>
    <col min="3" max="3" width="72.453125" style="267" customWidth="1"/>
    <col min="4" max="4" width="17.81640625" style="1" bestFit="1" customWidth="1"/>
    <col min="5" max="5" width="16.26953125" style="1" bestFit="1" customWidth="1"/>
    <col min="6" max="6" width="15" style="1" customWidth="1"/>
    <col min="7" max="7" width="13.81640625" style="1" customWidth="1"/>
    <col min="8" max="8" width="18.453125" style="248" hidden="1" customWidth="1"/>
    <col min="9" max="9" width="12.453125" style="248" hidden="1" customWidth="1"/>
    <col min="10" max="10" width="12.54296875" style="267" hidden="1" customWidth="1"/>
    <col min="11" max="11" width="17" style="267" hidden="1" customWidth="1"/>
    <col min="12" max="12" width="13.26953125" style="267" hidden="1" customWidth="1"/>
    <col min="13" max="13" width="0" style="267" hidden="1" customWidth="1"/>
    <col min="14" max="16" width="9.54296875" style="267" hidden="1" customWidth="1"/>
    <col min="17" max="17" width="9.81640625" style="267" hidden="1" customWidth="1"/>
    <col min="18" max="16384" width="9.1796875" style="267"/>
  </cols>
  <sheetData>
    <row r="1" spans="1:13" x14ac:dyDescent="0.35">
      <c r="A1" s="268" t="s">
        <v>1187</v>
      </c>
      <c r="B1" s="268"/>
      <c r="C1" s="269"/>
      <c r="D1" s="270"/>
      <c r="E1" s="270"/>
      <c r="F1" s="270"/>
      <c r="G1" s="270"/>
    </row>
    <row r="2" spans="1:13" x14ac:dyDescent="0.35">
      <c r="A2" s="268" t="s">
        <v>1036</v>
      </c>
      <c r="B2" s="268"/>
      <c r="C2" s="269"/>
      <c r="D2" s="270"/>
      <c r="E2" s="270"/>
      <c r="F2" s="270"/>
      <c r="G2" s="270"/>
    </row>
    <row r="3" spans="1:13" x14ac:dyDescent="0.35">
      <c r="A3" s="269"/>
      <c r="B3" s="269"/>
      <c r="C3" s="269"/>
      <c r="D3" s="270"/>
      <c r="E3" s="270"/>
      <c r="F3" s="270"/>
      <c r="G3" s="270"/>
    </row>
    <row r="4" spans="1:13" ht="45.5" x14ac:dyDescent="0.35">
      <c r="A4" s="261"/>
      <c r="B4" s="261"/>
      <c r="C4" s="262"/>
      <c r="D4" s="271" t="s">
        <v>1</v>
      </c>
      <c r="E4" s="271" t="s">
        <v>2</v>
      </c>
      <c r="F4" s="271" t="s">
        <v>1028</v>
      </c>
      <c r="G4" s="271" t="s">
        <v>3</v>
      </c>
    </row>
    <row r="5" spans="1:13" ht="15.5" x14ac:dyDescent="0.35">
      <c r="A5" s="272" t="s">
        <v>809</v>
      </c>
      <c r="B5" s="273"/>
      <c r="C5" s="273"/>
      <c r="D5" s="254"/>
      <c r="E5" s="254"/>
      <c r="F5" s="254"/>
      <c r="G5" s="254"/>
      <c r="J5" s="1"/>
    </row>
    <row r="6" spans="1:13" s="64" customFormat="1" ht="15.5" x14ac:dyDescent="0.35">
      <c r="A6" s="272" t="s">
        <v>24</v>
      </c>
      <c r="B6" s="274"/>
      <c r="C6" s="274"/>
      <c r="D6" s="255">
        <f>SUM(D7:D12)</f>
        <v>-336512165</v>
      </c>
      <c r="E6" s="255">
        <f t="shared" ref="E6:F6" si="0">SUM(E7:E12)</f>
        <v>-430439500.72000003</v>
      </c>
      <c r="F6" s="255">
        <f t="shared" si="0"/>
        <v>-362513205.61097598</v>
      </c>
      <c r="G6" s="255">
        <f t="shared" ref="G6:G21" si="1">F6-E6</f>
        <v>67926295.109024048</v>
      </c>
      <c r="H6" s="248"/>
      <c r="I6" s="248"/>
      <c r="J6" s="1"/>
      <c r="K6" s="267" t="s">
        <v>1181</v>
      </c>
      <c r="L6" s="267" t="s">
        <v>1182</v>
      </c>
    </row>
    <row r="7" spans="1:13" ht="15.5" x14ac:dyDescent="0.35">
      <c r="A7" s="272"/>
      <c r="B7" s="273" t="s">
        <v>1037</v>
      </c>
      <c r="C7" s="273"/>
      <c r="D7" s="254">
        <f>D14+D42</f>
        <v>-263488214</v>
      </c>
      <c r="E7" s="254">
        <f>E14+E42</f>
        <v>-306629373.63</v>
      </c>
      <c r="F7" s="254">
        <f>F14+F42</f>
        <v>-283890109.26999998</v>
      </c>
      <c r="G7" s="254">
        <f t="shared" si="1"/>
        <v>22739264.360000014</v>
      </c>
      <c r="J7" s="1"/>
      <c r="K7" s="248">
        <f>E7+306629373.78</f>
        <v>0.14999997615814209</v>
      </c>
      <c r="L7" s="248">
        <f>F7+283574797.99</f>
        <v>-315311.27999997139</v>
      </c>
      <c r="M7" s="267" t="s">
        <v>1184</v>
      </c>
    </row>
    <row r="8" spans="1:13" ht="15.5" x14ac:dyDescent="0.35">
      <c r="A8" s="272"/>
      <c r="B8" s="273" t="s">
        <v>1038</v>
      </c>
      <c r="C8" s="273"/>
      <c r="D8" s="254">
        <f>D43+D485</f>
        <v>-4399349</v>
      </c>
      <c r="E8" s="254">
        <f>E43+E485</f>
        <v>-4424855</v>
      </c>
      <c r="F8" s="254">
        <f>F43+F485</f>
        <v>-3819284.3099999996</v>
      </c>
      <c r="G8" s="254">
        <f t="shared" si="1"/>
        <v>605570.69000000041</v>
      </c>
      <c r="J8" s="1"/>
      <c r="K8" s="248"/>
      <c r="L8" s="248"/>
    </row>
    <row r="9" spans="1:13" ht="15.5" x14ac:dyDescent="0.35">
      <c r="A9" s="272"/>
      <c r="B9" s="273" t="s">
        <v>1039</v>
      </c>
      <c r="C9" s="273"/>
      <c r="D9" s="254">
        <f>D15+D44+D486</f>
        <v>-17786037</v>
      </c>
      <c r="E9" s="254">
        <f>E15+E44+E486</f>
        <v>-18041763.229999997</v>
      </c>
      <c r="F9" s="254">
        <f>F15+F44+F486</f>
        <v>-15105686.220000001</v>
      </c>
      <c r="G9" s="254">
        <f t="shared" si="1"/>
        <v>2936077.0099999961</v>
      </c>
      <c r="J9" s="1"/>
      <c r="K9" s="248"/>
      <c r="L9" s="248"/>
    </row>
    <row r="10" spans="1:13" ht="15.5" x14ac:dyDescent="0.35">
      <c r="A10" s="272"/>
      <c r="B10" s="273" t="s">
        <v>1040</v>
      </c>
      <c r="C10" s="273"/>
      <c r="D10" s="254">
        <f>D45+D487</f>
        <v>-2748500</v>
      </c>
      <c r="E10" s="254">
        <f>E45+E487</f>
        <v>-53253443.859999992</v>
      </c>
      <c r="F10" s="254">
        <f>F45+F487</f>
        <v>-11618322.300976001</v>
      </c>
      <c r="G10" s="254">
        <f t="shared" si="1"/>
        <v>41635121.559023991</v>
      </c>
      <c r="J10" s="1"/>
      <c r="K10" s="248">
        <f>E10+53246443.35</f>
        <v>-7000.5099999904633</v>
      </c>
      <c r="L10" s="248">
        <f>F10+11926633.18</f>
        <v>308310.87902399898</v>
      </c>
      <c r="M10" s="267" t="s">
        <v>1184</v>
      </c>
    </row>
    <row r="11" spans="1:13" ht="15.5" x14ac:dyDescent="0.35">
      <c r="A11" s="272"/>
      <c r="B11" s="273" t="s">
        <v>1045</v>
      </c>
      <c r="C11" s="273"/>
      <c r="D11" s="254">
        <f>D46</f>
        <v>-47239000</v>
      </c>
      <c r="E11" s="254">
        <f t="shared" ref="E11" si="2">E46</f>
        <v>-47239000</v>
      </c>
      <c r="F11" s="254">
        <f>F46</f>
        <v>-47052097</v>
      </c>
      <c r="G11" s="254">
        <f t="shared" si="1"/>
        <v>186903</v>
      </c>
      <c r="J11" s="1"/>
    </row>
    <row r="12" spans="1:13" ht="15.5" x14ac:dyDescent="0.35">
      <c r="A12" s="272"/>
      <c r="B12" s="273" t="s">
        <v>1041</v>
      </c>
      <c r="C12" s="273"/>
      <c r="D12" s="254">
        <f>D47</f>
        <v>-851065</v>
      </c>
      <c r="E12" s="254">
        <f t="shared" ref="E12" si="3">E47</f>
        <v>-851065</v>
      </c>
      <c r="F12" s="254">
        <f>F47</f>
        <v>-1027706.51</v>
      </c>
      <c r="G12" s="254">
        <f t="shared" si="1"/>
        <v>-176641.51</v>
      </c>
      <c r="J12" s="1"/>
    </row>
    <row r="13" spans="1:13" s="64" customFormat="1" ht="15.5" x14ac:dyDescent="0.35">
      <c r="A13" s="272" t="s">
        <v>810</v>
      </c>
      <c r="B13" s="274"/>
      <c r="C13" s="274"/>
      <c r="D13" s="255">
        <f>SUM(D14:D15)</f>
        <v>-16557073</v>
      </c>
      <c r="E13" s="255">
        <f>SUM(E14:E15)</f>
        <v>-18893177.509999998</v>
      </c>
      <c r="F13" s="255">
        <f>SUM(F14:F15)</f>
        <v>-14188492.67</v>
      </c>
      <c r="G13" s="255">
        <f t="shared" si="1"/>
        <v>4704684.839999998</v>
      </c>
      <c r="H13" s="248"/>
      <c r="I13" s="248"/>
      <c r="J13" s="1"/>
    </row>
    <row r="14" spans="1:13" ht="15.5" x14ac:dyDescent="0.35">
      <c r="A14" s="272"/>
      <c r="B14" s="273" t="s">
        <v>1037</v>
      </c>
      <c r="C14" s="273"/>
      <c r="D14" s="254">
        <f>D17</f>
        <v>-5039394</v>
      </c>
      <c r="E14" s="254">
        <f t="shared" ref="E14:F14" si="4">E17</f>
        <v>-8975339.7599999998</v>
      </c>
      <c r="F14" s="254">
        <f t="shared" si="4"/>
        <v>-5887965.8799999999</v>
      </c>
      <c r="G14" s="254">
        <f t="shared" si="1"/>
        <v>3087373.88</v>
      </c>
      <c r="J14" s="1"/>
    </row>
    <row r="15" spans="1:13" ht="15.5" x14ac:dyDescent="0.35">
      <c r="A15" s="272"/>
      <c r="B15" s="273" t="s">
        <v>1039</v>
      </c>
      <c r="C15" s="273"/>
      <c r="D15" s="254">
        <f>D18</f>
        <v>-11517679</v>
      </c>
      <c r="E15" s="254">
        <f t="shared" ref="E15" si="5">E18</f>
        <v>-9917837.75</v>
      </c>
      <c r="F15" s="254">
        <f>F18</f>
        <v>-8300526.79</v>
      </c>
      <c r="G15" s="254">
        <f t="shared" si="1"/>
        <v>1617310.96</v>
      </c>
      <c r="J15" s="1"/>
    </row>
    <row r="16" spans="1:13" s="64" customFormat="1" ht="15.5" x14ac:dyDescent="0.35">
      <c r="A16" s="275" t="s">
        <v>940</v>
      </c>
      <c r="B16" s="274"/>
      <c r="C16" s="274"/>
      <c r="D16" s="255">
        <f>SUM(D17:D18)</f>
        <v>-16557073</v>
      </c>
      <c r="E16" s="255">
        <f>SUM(E17:E18)</f>
        <v>-18893177.509999998</v>
      </c>
      <c r="F16" s="255">
        <f>SUM(F17:F18)</f>
        <v>-14188492.67</v>
      </c>
      <c r="G16" s="255">
        <f t="shared" si="1"/>
        <v>4704684.839999998</v>
      </c>
      <c r="H16" s="248"/>
      <c r="I16" s="248"/>
      <c r="J16" s="1"/>
    </row>
    <row r="17" spans="1:10" ht="15.5" x14ac:dyDescent="0.35">
      <c r="A17" s="276"/>
      <c r="B17" s="273" t="s">
        <v>1037</v>
      </c>
      <c r="C17" s="273"/>
      <c r="D17" s="254">
        <f>D20+D36</f>
        <v>-5039394</v>
      </c>
      <c r="E17" s="254">
        <f>E20+E36</f>
        <v>-8975339.7599999998</v>
      </c>
      <c r="F17" s="254">
        <f>F20+F36</f>
        <v>-5887965.8799999999</v>
      </c>
      <c r="G17" s="254">
        <f t="shared" si="1"/>
        <v>3087373.88</v>
      </c>
      <c r="J17" s="1"/>
    </row>
    <row r="18" spans="1:10" x14ac:dyDescent="0.35">
      <c r="A18" s="273"/>
      <c r="B18" s="273" t="s">
        <v>1039</v>
      </c>
      <c r="C18" s="273"/>
      <c r="D18" s="254">
        <f>D21</f>
        <v>-11517679</v>
      </c>
      <c r="E18" s="254">
        <f t="shared" ref="E18:F18" si="6">E21</f>
        <v>-9917837.75</v>
      </c>
      <c r="F18" s="254">
        <f t="shared" si="6"/>
        <v>-8300526.79</v>
      </c>
      <c r="G18" s="254">
        <f t="shared" si="1"/>
        <v>1617310.96</v>
      </c>
      <c r="J18" s="1"/>
    </row>
    <row r="19" spans="1:10" s="64" customFormat="1" ht="15.5" x14ac:dyDescent="0.35">
      <c r="A19" s="277" t="s">
        <v>1047</v>
      </c>
      <c r="B19" s="274"/>
      <c r="C19" s="274"/>
      <c r="D19" s="255">
        <f>SUM(D20:D21)</f>
        <v>-16368323</v>
      </c>
      <c r="E19" s="255">
        <f>SUM(E20:E21)</f>
        <v>-18680445.509999998</v>
      </c>
      <c r="F19" s="255">
        <f>SUM(F20:F21)</f>
        <v>-14022270.92</v>
      </c>
      <c r="G19" s="255">
        <f t="shared" si="1"/>
        <v>4658174.589999998</v>
      </c>
      <c r="H19" s="248"/>
      <c r="I19" s="248"/>
      <c r="J19" s="1"/>
    </row>
    <row r="20" spans="1:10" x14ac:dyDescent="0.35">
      <c r="A20" s="273"/>
      <c r="B20" s="273" t="s">
        <v>1037</v>
      </c>
      <c r="C20" s="273"/>
      <c r="D20" s="254">
        <f>D27</f>
        <v>-4850644</v>
      </c>
      <c r="E20" s="254">
        <f t="shared" ref="E20:F20" si="7">E27</f>
        <v>-8762607.7599999998</v>
      </c>
      <c r="F20" s="254">
        <f t="shared" si="7"/>
        <v>-5721744.1299999999</v>
      </c>
      <c r="G20" s="254">
        <f t="shared" si="1"/>
        <v>3040863.63</v>
      </c>
      <c r="J20" s="1"/>
    </row>
    <row r="21" spans="1:10" x14ac:dyDescent="0.35">
      <c r="A21" s="273"/>
      <c r="B21" s="273" t="s">
        <v>1039</v>
      </c>
      <c r="C21" s="273"/>
      <c r="D21" s="254">
        <f>D30</f>
        <v>-11517679</v>
      </c>
      <c r="E21" s="254">
        <f t="shared" ref="E21:F21" si="8">E30</f>
        <v>-9917837.75</v>
      </c>
      <c r="F21" s="254">
        <f t="shared" si="8"/>
        <v>-8300526.79</v>
      </c>
      <c r="G21" s="254">
        <f t="shared" si="1"/>
        <v>1617310.96</v>
      </c>
      <c r="J21" s="1"/>
    </row>
    <row r="22" spans="1:10" x14ac:dyDescent="0.35">
      <c r="A22" s="274"/>
      <c r="B22" s="274" t="s">
        <v>88</v>
      </c>
      <c r="C22" s="274"/>
      <c r="D22" s="255">
        <f>SUM(D23:D26)</f>
        <v>-16368323</v>
      </c>
      <c r="E22" s="255">
        <f t="shared" ref="E22:G22" si="9">SUM(E23:E26)</f>
        <v>-18680445.509999998</v>
      </c>
      <c r="F22" s="255">
        <f t="shared" si="9"/>
        <v>-14022270.920000002</v>
      </c>
      <c r="G22" s="255">
        <f t="shared" si="9"/>
        <v>4658174.59</v>
      </c>
      <c r="J22" s="1"/>
    </row>
    <row r="23" spans="1:10" x14ac:dyDescent="0.35">
      <c r="A23" s="274"/>
      <c r="B23" s="274"/>
      <c r="C23" s="273" t="s">
        <v>1194</v>
      </c>
      <c r="D23" s="254">
        <f>D31</f>
        <v>0</v>
      </c>
      <c r="E23" s="254">
        <f t="shared" ref="E23:G23" si="10">E31</f>
        <v>-9917837.75</v>
      </c>
      <c r="F23" s="254">
        <f t="shared" si="10"/>
        <v>0</v>
      </c>
      <c r="G23" s="254">
        <f t="shared" si="10"/>
        <v>9917837.75</v>
      </c>
      <c r="J23" s="1"/>
    </row>
    <row r="24" spans="1:10" x14ac:dyDescent="0.35">
      <c r="A24" s="273"/>
      <c r="B24" s="273"/>
      <c r="C24" s="273" t="s">
        <v>739</v>
      </c>
      <c r="D24" s="254">
        <f>D32</f>
        <v>-299397</v>
      </c>
      <c r="E24" s="254">
        <f t="shared" ref="E24:F24" si="11">E32</f>
        <v>0</v>
      </c>
      <c r="F24" s="254">
        <f t="shared" si="11"/>
        <v>-182676.2</v>
      </c>
      <c r="G24" s="254">
        <f t="shared" ref="G24:G26" si="12">F24-E24</f>
        <v>-182676.2</v>
      </c>
      <c r="J24" s="1"/>
    </row>
    <row r="25" spans="1:10" x14ac:dyDescent="0.35">
      <c r="A25" s="273"/>
      <c r="B25" s="273"/>
      <c r="C25" s="273" t="s">
        <v>740</v>
      </c>
      <c r="D25" s="254">
        <f>D28+D33</f>
        <v>-1282159</v>
      </c>
      <c r="E25" s="254">
        <f t="shared" ref="E25:F25" si="13">E28+E33</f>
        <v>-362009</v>
      </c>
      <c r="F25" s="254">
        <f t="shared" si="13"/>
        <v>-486713.53</v>
      </c>
      <c r="G25" s="254">
        <f t="shared" si="12"/>
        <v>-124704.53000000003</v>
      </c>
      <c r="J25" s="1"/>
    </row>
    <row r="26" spans="1:10" x14ac:dyDescent="0.35">
      <c r="A26" s="273"/>
      <c r="B26" s="273"/>
      <c r="C26" s="273" t="s">
        <v>1034</v>
      </c>
      <c r="D26" s="254">
        <f>D29+D34</f>
        <v>-14786767</v>
      </c>
      <c r="E26" s="254">
        <f t="shared" ref="E26:F26" si="14">E29+E34</f>
        <v>-8400598.7599999998</v>
      </c>
      <c r="F26" s="254">
        <f t="shared" si="14"/>
        <v>-13352881.190000001</v>
      </c>
      <c r="G26" s="254">
        <f t="shared" si="12"/>
        <v>-4952282.4300000016</v>
      </c>
      <c r="J26" s="1"/>
    </row>
    <row r="27" spans="1:10" x14ac:dyDescent="0.35">
      <c r="A27" s="274"/>
      <c r="B27" s="274"/>
      <c r="C27" s="274" t="s">
        <v>1037</v>
      </c>
      <c r="D27" s="255">
        <f>SUM(D28:D29)</f>
        <v>-4850644</v>
      </c>
      <c r="E27" s="255">
        <f>SUM(E28:E29)</f>
        <v>-8762607.7599999998</v>
      </c>
      <c r="F27" s="255">
        <f>SUM(F28:F29)</f>
        <v>-5721744.1299999999</v>
      </c>
      <c r="G27" s="255">
        <f>F27-E27</f>
        <v>3040863.63</v>
      </c>
      <c r="J27" s="1"/>
    </row>
    <row r="28" spans="1:10" x14ac:dyDescent="0.35">
      <c r="A28" s="273"/>
      <c r="B28" s="273"/>
      <c r="C28" s="273" t="s">
        <v>740</v>
      </c>
      <c r="D28" s="254">
        <v>-100700</v>
      </c>
      <c r="E28" s="254">
        <f>D28-261309</f>
        <v>-362009</v>
      </c>
      <c r="F28" s="254">
        <v>-161228.09</v>
      </c>
      <c r="G28" s="254">
        <f t="shared" ref="G28:G29" si="15">F28-E28</f>
        <v>200780.91</v>
      </c>
      <c r="I28" s="248">
        <f>D28-E28</f>
        <v>261309</v>
      </c>
    </row>
    <row r="29" spans="1:10" x14ac:dyDescent="0.35">
      <c r="A29" s="273"/>
      <c r="B29" s="273"/>
      <c r="C29" s="273" t="s">
        <v>1034</v>
      </c>
      <c r="D29" s="254">
        <v>-4749944</v>
      </c>
      <c r="E29" s="254">
        <f>D29-3650654.76</f>
        <v>-8400598.7599999998</v>
      </c>
      <c r="F29" s="254">
        <v>-5560516.04</v>
      </c>
      <c r="G29" s="254">
        <f t="shared" si="15"/>
        <v>2840082.7199999997</v>
      </c>
      <c r="I29" s="248">
        <f>D29-E29</f>
        <v>3650654.76</v>
      </c>
    </row>
    <row r="30" spans="1:10" x14ac:dyDescent="0.35">
      <c r="A30" s="274"/>
      <c r="B30" s="274"/>
      <c r="C30" s="274" t="s">
        <v>1039</v>
      </c>
      <c r="D30" s="255">
        <f>SUM(D32:D34)</f>
        <v>-11517679</v>
      </c>
      <c r="E30" s="255">
        <f>SUM(E31:E34)</f>
        <v>-9917837.75</v>
      </c>
      <c r="F30" s="255">
        <f t="shared" ref="F30:G30" si="16">SUM(F31:F34)</f>
        <v>-8300526.79</v>
      </c>
      <c r="G30" s="255">
        <f t="shared" si="16"/>
        <v>1617310.9600000009</v>
      </c>
      <c r="I30" s="248">
        <f>D30-E30</f>
        <v>-1599841.25</v>
      </c>
    </row>
    <row r="31" spans="1:10" x14ac:dyDescent="0.35">
      <c r="A31" s="274"/>
      <c r="B31" s="274"/>
      <c r="C31" s="273" t="s">
        <v>1194</v>
      </c>
      <c r="D31" s="254">
        <v>0</v>
      </c>
      <c r="E31" s="254">
        <v>-9917837.75</v>
      </c>
      <c r="F31" s="254">
        <v>0</v>
      </c>
      <c r="G31" s="254">
        <f>F31-E31</f>
        <v>9917837.75</v>
      </c>
      <c r="H31" s="267"/>
      <c r="I31" s="267"/>
    </row>
    <row r="32" spans="1:10" x14ac:dyDescent="0.35">
      <c r="A32" s="273"/>
      <c r="B32" s="273"/>
      <c r="C32" s="273" t="s">
        <v>739</v>
      </c>
      <c r="D32" s="254">
        <v>-299397</v>
      </c>
      <c r="E32" s="254">
        <f>D32+299397</f>
        <v>0</v>
      </c>
      <c r="F32" s="254">
        <v>-182676.2</v>
      </c>
      <c r="G32" s="254">
        <f t="shared" ref="G32:G36" si="17">F32-E32</f>
        <v>-182676.2</v>
      </c>
      <c r="I32" s="1"/>
    </row>
    <row r="33" spans="1:12" x14ac:dyDescent="0.35">
      <c r="A33" s="274"/>
      <c r="B33" s="274"/>
      <c r="C33" s="273" t="s">
        <v>740</v>
      </c>
      <c r="D33" s="254">
        <v>-1181459</v>
      </c>
      <c r="E33" s="254">
        <f>D33+1181459</f>
        <v>0</v>
      </c>
      <c r="F33" s="254">
        <v>-325485.44</v>
      </c>
      <c r="G33" s="254">
        <f t="shared" si="17"/>
        <v>-325485.44</v>
      </c>
      <c r="I33" s="1"/>
    </row>
    <row r="34" spans="1:12" x14ac:dyDescent="0.35">
      <c r="A34" s="274"/>
      <c r="B34" s="274"/>
      <c r="C34" s="273" t="s">
        <v>1034</v>
      </c>
      <c r="D34" s="254">
        <f>-2626215-6666160-744448</f>
        <v>-10036823</v>
      </c>
      <c r="E34" s="254">
        <f>D34+10036823</f>
        <v>0</v>
      </c>
      <c r="F34" s="254">
        <v>-7792365.1500000004</v>
      </c>
      <c r="G34" s="254">
        <f t="shared" si="17"/>
        <v>-7792365.1500000004</v>
      </c>
      <c r="I34" s="1"/>
    </row>
    <row r="35" spans="1:12" s="64" customFormat="1" ht="15.5" x14ac:dyDescent="0.35">
      <c r="A35" s="277" t="s">
        <v>1048</v>
      </c>
      <c r="B35" s="274"/>
      <c r="C35" s="274"/>
      <c r="D35" s="255">
        <f>SUM(D36:D36)</f>
        <v>-188750</v>
      </c>
      <c r="E35" s="255">
        <f>SUM(E36:E36)</f>
        <v>-212732</v>
      </c>
      <c r="F35" s="255">
        <f>SUM(F36:F36)</f>
        <v>-166221.75</v>
      </c>
      <c r="G35" s="255">
        <f t="shared" si="17"/>
        <v>46510.25</v>
      </c>
      <c r="H35" s="248"/>
      <c r="I35" s="248"/>
      <c r="J35" s="1"/>
    </row>
    <row r="36" spans="1:12" x14ac:dyDescent="0.35">
      <c r="A36" s="273"/>
      <c r="B36" s="273" t="s">
        <v>1037</v>
      </c>
      <c r="C36" s="273"/>
      <c r="D36" s="254">
        <f>D39</f>
        <v>-188750</v>
      </c>
      <c r="E36" s="254">
        <f>E39</f>
        <v>-212732</v>
      </c>
      <c r="F36" s="254">
        <f t="shared" ref="F36" si="18">F39</f>
        <v>-166221.75</v>
      </c>
      <c r="G36" s="254">
        <f t="shared" si="17"/>
        <v>46510.25</v>
      </c>
      <c r="J36" s="1"/>
    </row>
    <row r="37" spans="1:12" x14ac:dyDescent="0.35">
      <c r="A37" s="274"/>
      <c r="B37" s="274" t="s">
        <v>88</v>
      </c>
      <c r="C37" s="274"/>
      <c r="D37" s="255">
        <f>SUM(D38:D38)</f>
        <v>-188750</v>
      </c>
      <c r="E37" s="255">
        <f>SUM(E38:E38)</f>
        <v>-212732</v>
      </c>
      <c r="F37" s="255">
        <f>SUM(F38:F38)</f>
        <v>-166221.75</v>
      </c>
      <c r="G37" s="255">
        <f>F37-E37</f>
        <v>46510.25</v>
      </c>
      <c r="J37" s="1"/>
    </row>
    <row r="38" spans="1:12" x14ac:dyDescent="0.35">
      <c r="A38" s="273"/>
      <c r="B38" s="273"/>
      <c r="C38" s="273" t="s">
        <v>1034</v>
      </c>
      <c r="D38" s="254">
        <f>D40</f>
        <v>-188750</v>
      </c>
      <c r="E38" s="254">
        <f t="shared" ref="E38:F38" si="19">E40</f>
        <v>-212732</v>
      </c>
      <c r="F38" s="254">
        <f t="shared" si="19"/>
        <v>-166221.75</v>
      </c>
      <c r="G38" s="254">
        <f t="shared" ref="G38" si="20">F38-E38</f>
        <v>46510.25</v>
      </c>
      <c r="J38" s="1"/>
    </row>
    <row r="39" spans="1:12" x14ac:dyDescent="0.35">
      <c r="A39" s="274"/>
      <c r="B39" s="274"/>
      <c r="C39" s="274" t="s">
        <v>1037</v>
      </c>
      <c r="D39" s="255">
        <f>SUM(D40:D40)</f>
        <v>-188750</v>
      </c>
      <c r="E39" s="255">
        <f>SUM(E40:E40)</f>
        <v>-212732</v>
      </c>
      <c r="F39" s="255">
        <f>SUM(F40:F40)</f>
        <v>-166221.75</v>
      </c>
      <c r="G39" s="255">
        <f>F39-E39</f>
        <v>46510.25</v>
      </c>
      <c r="J39" s="1"/>
    </row>
    <row r="40" spans="1:12" x14ac:dyDescent="0.35">
      <c r="A40" s="273"/>
      <c r="B40" s="273"/>
      <c r="C40" s="273" t="s">
        <v>1034</v>
      </c>
      <c r="D40" s="254">
        <v>-188750</v>
      </c>
      <c r="E40" s="254">
        <f>D40-23982</f>
        <v>-212732</v>
      </c>
      <c r="F40" s="254">
        <v>-166221.75</v>
      </c>
      <c r="G40" s="254">
        <f t="shared" ref="G40:G60" si="21">F40-E40</f>
        <v>46510.25</v>
      </c>
      <c r="I40" s="248">
        <f>D40-E40</f>
        <v>23982</v>
      </c>
      <c r="J40" s="1"/>
    </row>
    <row r="41" spans="1:12" s="64" customFormat="1" ht="15.5" x14ac:dyDescent="0.35">
      <c r="A41" s="272" t="s">
        <v>1049</v>
      </c>
      <c r="B41" s="274"/>
      <c r="C41" s="274"/>
      <c r="D41" s="255">
        <f>SUM(D42:D47)</f>
        <v>-317646523</v>
      </c>
      <c r="E41" s="255">
        <f>SUM(E42:E47)</f>
        <v>-409269818.16999996</v>
      </c>
      <c r="F41" s="255">
        <f>SUM(F42:F47)</f>
        <v>-346653437.66097593</v>
      </c>
      <c r="G41" s="255">
        <f t="shared" si="21"/>
        <v>62616380.509024024</v>
      </c>
      <c r="H41" s="248"/>
      <c r="I41" s="248"/>
      <c r="J41" s="1"/>
    </row>
    <row r="42" spans="1:12" ht="15.5" x14ac:dyDescent="0.35">
      <c r="A42" s="272"/>
      <c r="B42" s="273" t="s">
        <v>1037</v>
      </c>
      <c r="C42" s="273"/>
      <c r="D42" s="254">
        <f>D49+D445</f>
        <v>-258448820</v>
      </c>
      <c r="E42" s="254">
        <f>E49+E445</f>
        <v>-297654033.87</v>
      </c>
      <c r="F42" s="254">
        <f>F49+F445</f>
        <v>-278002143.38999999</v>
      </c>
      <c r="G42" s="254">
        <f t="shared" si="21"/>
        <v>19651890.480000019</v>
      </c>
      <c r="J42" s="1"/>
    </row>
    <row r="43" spans="1:12" ht="15.5" x14ac:dyDescent="0.35">
      <c r="A43" s="272"/>
      <c r="B43" s="273" t="s">
        <v>1038</v>
      </c>
      <c r="C43" s="273"/>
      <c r="D43" s="254">
        <f>D50</f>
        <v>-2368007</v>
      </c>
      <c r="E43" s="254">
        <f t="shared" ref="E43" si="22">E50</f>
        <v>-2368007</v>
      </c>
      <c r="F43" s="254">
        <f>F50</f>
        <v>-2367666.0699999998</v>
      </c>
      <c r="G43" s="254">
        <f t="shared" si="21"/>
        <v>340.93000000016764</v>
      </c>
      <c r="J43" s="1"/>
    </row>
    <row r="44" spans="1:12" ht="15.5" x14ac:dyDescent="0.35">
      <c r="A44" s="272"/>
      <c r="B44" s="273" t="s">
        <v>1039</v>
      </c>
      <c r="C44" s="273"/>
      <c r="D44" s="254">
        <f>D51+D446</f>
        <v>-5998289</v>
      </c>
      <c r="E44" s="254">
        <f>E51+E446</f>
        <v>-8003091.3300000001</v>
      </c>
      <c r="F44" s="254">
        <f>F51+F446</f>
        <v>-6684325.2799999993</v>
      </c>
      <c r="G44" s="254">
        <f t="shared" si="21"/>
        <v>1318766.0500000007</v>
      </c>
      <c r="J44" s="1"/>
    </row>
    <row r="45" spans="1:12" ht="15.5" x14ac:dyDescent="0.35">
      <c r="A45" s="272"/>
      <c r="B45" s="273" t="s">
        <v>1040</v>
      </c>
      <c r="C45" s="273"/>
      <c r="D45" s="254">
        <f>D52</f>
        <v>-2741342</v>
      </c>
      <c r="E45" s="254">
        <f t="shared" ref="E45:F45" si="23">E52</f>
        <v>-53154620.969999991</v>
      </c>
      <c r="F45" s="254">
        <f t="shared" si="23"/>
        <v>-11519499.410976</v>
      </c>
      <c r="G45" s="254">
        <f t="shared" si="21"/>
        <v>41635121.559023991</v>
      </c>
      <c r="J45" s="1"/>
    </row>
    <row r="46" spans="1:12" ht="15.5" x14ac:dyDescent="0.35">
      <c r="A46" s="272"/>
      <c r="B46" s="273" t="s">
        <v>1045</v>
      </c>
      <c r="C46" s="273"/>
      <c r="D46" s="254">
        <f>D53+D447</f>
        <v>-47239000</v>
      </c>
      <c r="E46" s="254">
        <f>E53+E447</f>
        <v>-47239000</v>
      </c>
      <c r="F46" s="254">
        <f>F53+F447</f>
        <v>-47052097</v>
      </c>
      <c r="G46" s="254">
        <f t="shared" si="21"/>
        <v>186903</v>
      </c>
      <c r="J46" s="1"/>
    </row>
    <row r="47" spans="1:12" ht="15.5" x14ac:dyDescent="0.35">
      <c r="A47" s="272"/>
      <c r="B47" s="273" t="s">
        <v>1042</v>
      </c>
      <c r="C47" s="273"/>
      <c r="D47" s="254">
        <f>D54</f>
        <v>-851065</v>
      </c>
      <c r="E47" s="254">
        <f t="shared" ref="E47" si="24">E54</f>
        <v>-851065</v>
      </c>
      <c r="F47" s="254">
        <f>F54</f>
        <v>-1027706.51</v>
      </c>
      <c r="G47" s="254">
        <f t="shared" si="21"/>
        <v>-176641.51</v>
      </c>
      <c r="J47" s="1"/>
    </row>
    <row r="48" spans="1:12" s="64" customFormat="1" ht="15.5" x14ac:dyDescent="0.35">
      <c r="A48" s="275" t="s">
        <v>811</v>
      </c>
      <c r="B48" s="274"/>
      <c r="C48" s="274"/>
      <c r="D48" s="255">
        <f>SUM(D49:D54)</f>
        <v>-271511766</v>
      </c>
      <c r="E48" s="255">
        <f t="shared" ref="E48:F48" si="25">SUM(E49:E54)</f>
        <v>-358404590.91000003</v>
      </c>
      <c r="F48" s="255">
        <f t="shared" si="25"/>
        <v>-296947766.14097595</v>
      </c>
      <c r="G48" s="255">
        <f t="shared" si="21"/>
        <v>61456824.769024074</v>
      </c>
      <c r="H48" s="248"/>
      <c r="I48" s="248"/>
      <c r="J48" s="278" t="s">
        <v>1181</v>
      </c>
      <c r="K48" s="64" t="s">
        <v>1182</v>
      </c>
      <c r="L48" s="64" t="s">
        <v>1183</v>
      </c>
    </row>
    <row r="49" spans="1:12" ht="15.5" x14ac:dyDescent="0.35">
      <c r="A49" s="276"/>
      <c r="B49" s="273" t="s">
        <v>1037</v>
      </c>
      <c r="C49" s="273"/>
      <c r="D49" s="254">
        <f>D56+D92+D114+D131+D153+D176+D201+D209+D217+D252+D375+D390+D415+D404</f>
        <v>-216557906</v>
      </c>
      <c r="E49" s="254">
        <f>E56+E92+E114+E131+E153+E176+E201+E209+E217+E252+E375+E390+E415+E404</f>
        <v>-251138894.51000002</v>
      </c>
      <c r="F49" s="254">
        <f>F56+F92+F114+F131+F153+F176+F201+F209+F217+F252+F375+F390+F415+F404</f>
        <v>-232433732.87</v>
      </c>
      <c r="G49" s="254">
        <f t="shared" si="21"/>
        <v>18705161.640000015</v>
      </c>
      <c r="J49" s="1">
        <f>E49+251138894.66</f>
        <v>0.14999997615814209</v>
      </c>
      <c r="K49" s="1">
        <f>F49+232118421.59</f>
        <v>-315311.28000000119</v>
      </c>
      <c r="L49" s="1">
        <f>G49-19020473.07</f>
        <v>-315311.4299999848</v>
      </c>
    </row>
    <row r="50" spans="1:12" ht="15.5" x14ac:dyDescent="0.35">
      <c r="A50" s="276"/>
      <c r="B50" s="273" t="s">
        <v>1038</v>
      </c>
      <c r="C50" s="273"/>
      <c r="D50" s="254">
        <f>D57+D93+D115+D132+D154+D177+D218+D253+D416</f>
        <v>-2368007</v>
      </c>
      <c r="E50" s="254">
        <f>E57+E93+E115+E132+E154+E177+E218+E253+E416</f>
        <v>-2368007</v>
      </c>
      <c r="F50" s="254">
        <f>F57+F93+F115+F132+F154+F177+F218+F253+F416</f>
        <v>-2367666.0699999998</v>
      </c>
      <c r="G50" s="254">
        <f t="shared" si="21"/>
        <v>340.93000000016764</v>
      </c>
    </row>
    <row r="51" spans="1:12" x14ac:dyDescent="0.35">
      <c r="A51" s="273"/>
      <c r="B51" s="273" t="s">
        <v>1039</v>
      </c>
      <c r="C51" s="273"/>
      <c r="D51" s="254">
        <f>D254+D376+D391+D405+D417+D219</f>
        <v>-5981896</v>
      </c>
      <c r="E51" s="254">
        <f>E254+E376+E391+E405+E417+E219</f>
        <v>-7880453.4299999997</v>
      </c>
      <c r="F51" s="254">
        <f>F254+F376+F391+F405+F417+F219</f>
        <v>-6675704.629999999</v>
      </c>
      <c r="G51" s="254">
        <f t="shared" si="21"/>
        <v>1204748.8000000007</v>
      </c>
      <c r="J51" s="1">
        <f>E51+7880453.87</f>
        <v>0.44000000040978193</v>
      </c>
      <c r="L51" s="1">
        <f>G51-1204749.21</f>
        <v>-0.40999999921768904</v>
      </c>
    </row>
    <row r="52" spans="1:12" x14ac:dyDescent="0.35">
      <c r="A52" s="273"/>
      <c r="B52" s="273" t="s">
        <v>1040</v>
      </c>
      <c r="C52" s="273"/>
      <c r="D52" s="254">
        <f>D58+D133+D220+D255+D94+D155+D178</f>
        <v>-2741342</v>
      </c>
      <c r="E52" s="254">
        <f>E58+E133+E220+E255+E94+E155+E178</f>
        <v>-53154620.969999991</v>
      </c>
      <c r="F52" s="254">
        <f>F58+F133+F220+F255+F94+F155+F178</f>
        <v>-11519499.410976</v>
      </c>
      <c r="G52" s="254">
        <f t="shared" si="21"/>
        <v>41635121.559023991</v>
      </c>
      <c r="J52" s="1">
        <f>E52+53147620.46</f>
        <v>-7000.5099999904633</v>
      </c>
      <c r="K52" s="1">
        <f>F52+11827810.29</f>
        <v>308310.87902399898</v>
      </c>
      <c r="L52" s="1">
        <f>G52-41319810.17</f>
        <v>315311.38902398944</v>
      </c>
    </row>
    <row r="53" spans="1:12" x14ac:dyDescent="0.35">
      <c r="A53" s="273"/>
      <c r="B53" s="273" t="s">
        <v>1045</v>
      </c>
      <c r="C53" s="273"/>
      <c r="D53" s="254">
        <f>D59+D95+D116+D134+D156+D179+D221+D418</f>
        <v>-43011550</v>
      </c>
      <c r="E53" s="254">
        <f>E59+E95+E116+E134+E156+E179+E221+E418</f>
        <v>-43011550</v>
      </c>
      <c r="F53" s="254">
        <f>F59+F95+F116+F134+F156+F179+F221+F418</f>
        <v>-42923456.649999999</v>
      </c>
      <c r="G53" s="254">
        <f t="shared" si="21"/>
        <v>88093.35000000149</v>
      </c>
      <c r="J53" s="1"/>
    </row>
    <row r="54" spans="1:12" x14ac:dyDescent="0.35">
      <c r="A54" s="273"/>
      <c r="B54" s="273" t="s">
        <v>1042</v>
      </c>
      <c r="C54" s="273"/>
      <c r="D54" s="254">
        <f>D256+D419+D60</f>
        <v>-851065</v>
      </c>
      <c r="E54" s="254">
        <f>E256+E419+E60</f>
        <v>-851065</v>
      </c>
      <c r="F54" s="254">
        <f>F256+F419+F60</f>
        <v>-1027706.51</v>
      </c>
      <c r="G54" s="254">
        <f t="shared" si="21"/>
        <v>-176641.51</v>
      </c>
      <c r="J54" s="1"/>
    </row>
    <row r="55" spans="1:12" s="64" customFormat="1" ht="15.5" x14ac:dyDescent="0.35">
      <c r="A55" s="277" t="s">
        <v>1050</v>
      </c>
      <c r="B55" s="274"/>
      <c r="C55" s="274"/>
      <c r="D55" s="255">
        <f>SUM(D56:D59)</f>
        <v>-10777863</v>
      </c>
      <c r="E55" s="255">
        <f t="shared" ref="E55" si="26">SUM(E56:E59)</f>
        <v>-11092920.32</v>
      </c>
      <c r="F55" s="255">
        <f>SUM(F56:F60)</f>
        <v>-10758163.83</v>
      </c>
      <c r="G55" s="255">
        <f t="shared" si="21"/>
        <v>334756.49000000022</v>
      </c>
      <c r="H55" s="248"/>
      <c r="I55" s="248"/>
      <c r="J55" s="1"/>
    </row>
    <row r="56" spans="1:12" x14ac:dyDescent="0.35">
      <c r="A56" s="273"/>
      <c r="B56" s="273" t="s">
        <v>1037</v>
      </c>
      <c r="C56" s="273"/>
      <c r="D56" s="254">
        <f>D65+D80</f>
        <v>-7388373</v>
      </c>
      <c r="E56" s="254">
        <f>E65+E80</f>
        <v>-7430312.7400000002</v>
      </c>
      <c r="F56" s="254">
        <f>F65+F80</f>
        <v>-7316935.8799999999</v>
      </c>
      <c r="G56" s="254">
        <f t="shared" si="21"/>
        <v>113376.86000000034</v>
      </c>
      <c r="J56" s="1"/>
    </row>
    <row r="57" spans="1:12" x14ac:dyDescent="0.35">
      <c r="A57" s="273"/>
      <c r="B57" s="273" t="s">
        <v>1038</v>
      </c>
      <c r="C57" s="273"/>
      <c r="D57" s="254">
        <f>D67</f>
        <v>-142080</v>
      </c>
      <c r="E57" s="254">
        <f t="shared" ref="E57:F57" si="27">E67</f>
        <v>-142080</v>
      </c>
      <c r="F57" s="254">
        <f t="shared" si="27"/>
        <v>-142054.63</v>
      </c>
      <c r="G57" s="254">
        <f t="shared" si="21"/>
        <v>25.369999999995343</v>
      </c>
      <c r="J57" s="1"/>
    </row>
    <row r="58" spans="1:12" x14ac:dyDescent="0.35">
      <c r="A58" s="273"/>
      <c r="B58" s="273" t="s">
        <v>1040</v>
      </c>
      <c r="C58" s="273"/>
      <c r="D58" s="254">
        <f>D84</f>
        <v>-52000</v>
      </c>
      <c r="E58" s="254">
        <f t="shared" ref="E58:F58" si="28">E84</f>
        <v>-325117.58</v>
      </c>
      <c r="F58" s="254">
        <f t="shared" si="28"/>
        <v>-154593.59000000003</v>
      </c>
      <c r="G58" s="254">
        <f t="shared" si="21"/>
        <v>170523.99</v>
      </c>
      <c r="J58" s="1"/>
    </row>
    <row r="59" spans="1:12" x14ac:dyDescent="0.35">
      <c r="A59" s="273"/>
      <c r="B59" s="273" t="s">
        <v>1045</v>
      </c>
      <c r="C59" s="273"/>
      <c r="D59" s="254">
        <f>D72</f>
        <v>-3195410</v>
      </c>
      <c r="E59" s="254">
        <f t="shared" ref="E59:F59" si="29">E72</f>
        <v>-3195410</v>
      </c>
      <c r="F59" s="254">
        <f t="shared" si="29"/>
        <v>-3125308.73</v>
      </c>
      <c r="G59" s="254">
        <f t="shared" si="21"/>
        <v>70101.270000000019</v>
      </c>
      <c r="J59" s="1"/>
    </row>
    <row r="60" spans="1:12" x14ac:dyDescent="0.35">
      <c r="A60" s="273"/>
      <c r="B60" s="273" t="s">
        <v>1042</v>
      </c>
      <c r="C60" s="273"/>
      <c r="D60" s="254">
        <v>0</v>
      </c>
      <c r="E60" s="254">
        <v>0</v>
      </c>
      <c r="F60" s="254">
        <f>F90</f>
        <v>-19271</v>
      </c>
      <c r="G60" s="254">
        <f t="shared" si="21"/>
        <v>-19271</v>
      </c>
      <c r="J60" s="1"/>
    </row>
    <row r="61" spans="1:12" x14ac:dyDescent="0.35">
      <c r="A61" s="274"/>
      <c r="B61" s="274" t="s">
        <v>88</v>
      </c>
      <c r="C61" s="274"/>
      <c r="D61" s="255">
        <f>SUM(D62:D64)</f>
        <v>-9831803</v>
      </c>
      <c r="E61" s="255">
        <f t="shared" ref="E61" si="30">SUM(E62:E64)</f>
        <v>-9847592</v>
      </c>
      <c r="F61" s="255">
        <f t="shared" ref="F61" si="31">SUM(F62:F64)</f>
        <v>-9708476.3599999994</v>
      </c>
      <c r="G61" s="255">
        <f>F61-E61</f>
        <v>139115.6400000006</v>
      </c>
      <c r="J61" s="1"/>
    </row>
    <row r="62" spans="1:12" x14ac:dyDescent="0.35">
      <c r="A62" s="273"/>
      <c r="B62" s="273"/>
      <c r="C62" s="273" t="s">
        <v>1033</v>
      </c>
      <c r="D62" s="254">
        <f>D68</f>
        <v>-7104</v>
      </c>
      <c r="E62" s="254">
        <f t="shared" ref="E62:F62" si="32">E68</f>
        <v>-7104</v>
      </c>
      <c r="F62" s="254">
        <f t="shared" si="32"/>
        <v>-7078.39</v>
      </c>
      <c r="G62" s="254">
        <f t="shared" ref="G62:G64" si="33">F62-E62</f>
        <v>25.609999999999673</v>
      </c>
      <c r="J62" s="1"/>
    </row>
    <row r="63" spans="1:12" x14ac:dyDescent="0.35">
      <c r="A63" s="273"/>
      <c r="B63" s="273"/>
      <c r="C63" s="273" t="s">
        <v>1034</v>
      </c>
      <c r="D63" s="254">
        <f>D70+D66</f>
        <v>-6629289</v>
      </c>
      <c r="E63" s="254">
        <f t="shared" ref="E63:F63" si="34">E70+E66</f>
        <v>-6645078</v>
      </c>
      <c r="F63" s="254">
        <f t="shared" si="34"/>
        <v>-6576089.2400000002</v>
      </c>
      <c r="G63" s="254">
        <f t="shared" si="33"/>
        <v>68988.759999999776</v>
      </c>
      <c r="J63" s="1"/>
    </row>
    <row r="64" spans="1:12" x14ac:dyDescent="0.35">
      <c r="A64" s="273"/>
      <c r="B64" s="273"/>
      <c r="C64" s="273" t="s">
        <v>1035</v>
      </c>
      <c r="D64" s="254">
        <f>D73</f>
        <v>-3195410</v>
      </c>
      <c r="E64" s="254">
        <f t="shared" ref="E64:F64" si="35">E73</f>
        <v>-3195410</v>
      </c>
      <c r="F64" s="254">
        <f t="shared" si="35"/>
        <v>-3125308.73</v>
      </c>
      <c r="G64" s="254">
        <f t="shared" si="33"/>
        <v>70101.270000000019</v>
      </c>
      <c r="J64" s="1"/>
    </row>
    <row r="65" spans="1:10" x14ac:dyDescent="0.35">
      <c r="A65" s="274"/>
      <c r="B65" s="274"/>
      <c r="C65" s="274" t="s">
        <v>1037</v>
      </c>
      <c r="D65" s="255">
        <f>SUM(D66:D66)</f>
        <v>-6494313</v>
      </c>
      <c r="E65" s="255">
        <f>SUM(E66:E66)</f>
        <v>-6510102</v>
      </c>
      <c r="F65" s="255">
        <f>SUM(F66:F66)</f>
        <v>-6441113</v>
      </c>
      <c r="G65" s="255">
        <f>F65-E65</f>
        <v>68989</v>
      </c>
      <c r="J65" s="1"/>
    </row>
    <row r="66" spans="1:10" x14ac:dyDescent="0.35">
      <c r="A66" s="273"/>
      <c r="B66" s="273"/>
      <c r="C66" s="273" t="s">
        <v>1034</v>
      </c>
      <c r="D66" s="254">
        <v>-6494313</v>
      </c>
      <c r="E66" s="254">
        <f>D66-15789</f>
        <v>-6510102</v>
      </c>
      <c r="F66" s="254">
        <v>-6441113</v>
      </c>
      <c r="G66" s="254">
        <f t="shared" ref="G66:G71" si="36">F66-E66</f>
        <v>68989</v>
      </c>
      <c r="I66" s="248">
        <f>D66-E66</f>
        <v>15789</v>
      </c>
      <c r="J66" s="1"/>
    </row>
    <row r="67" spans="1:10" s="64" customFormat="1" x14ac:dyDescent="0.35">
      <c r="A67" s="274"/>
      <c r="B67" s="274"/>
      <c r="C67" s="274" t="s">
        <v>1038</v>
      </c>
      <c r="D67" s="255">
        <f>D68+D70</f>
        <v>-142080</v>
      </c>
      <c r="E67" s="255">
        <f t="shared" ref="E67:F67" si="37">E68+E70</f>
        <v>-142080</v>
      </c>
      <c r="F67" s="255">
        <f t="shared" si="37"/>
        <v>-142054.63</v>
      </c>
      <c r="G67" s="255">
        <f>F67-E67</f>
        <v>25.369999999995343</v>
      </c>
      <c r="H67" s="248"/>
      <c r="I67" s="248"/>
      <c r="J67" s="1"/>
    </row>
    <row r="68" spans="1:10" x14ac:dyDescent="0.35">
      <c r="A68" s="273"/>
      <c r="B68" s="273"/>
      <c r="C68" s="273" t="s">
        <v>1033</v>
      </c>
      <c r="D68" s="254">
        <f>D69</f>
        <v>-7104</v>
      </c>
      <c r="E68" s="254">
        <f t="shared" ref="E68:E71" si="38">D68</f>
        <v>-7104</v>
      </c>
      <c r="F68" s="254">
        <f>F69</f>
        <v>-7078.39</v>
      </c>
      <c r="G68" s="254">
        <f t="shared" si="36"/>
        <v>25.609999999999673</v>
      </c>
      <c r="J68" s="1"/>
    </row>
    <row r="69" spans="1:10" s="282" customFormat="1" x14ac:dyDescent="0.35">
      <c r="A69" s="279"/>
      <c r="B69" s="279"/>
      <c r="C69" s="279" t="s">
        <v>1052</v>
      </c>
      <c r="D69" s="280">
        <v>-7104</v>
      </c>
      <c r="E69" s="280">
        <f t="shared" si="38"/>
        <v>-7104</v>
      </c>
      <c r="F69" s="280">
        <v>-7078.39</v>
      </c>
      <c r="G69" s="280">
        <f t="shared" si="36"/>
        <v>25.609999999999673</v>
      </c>
      <c r="H69" s="281"/>
      <c r="I69" s="281"/>
      <c r="J69" s="1"/>
    </row>
    <row r="70" spans="1:10" x14ac:dyDescent="0.35">
      <c r="A70" s="273"/>
      <c r="B70" s="273"/>
      <c r="C70" s="273" t="s">
        <v>1034</v>
      </c>
      <c r="D70" s="254">
        <f>D71</f>
        <v>-134976</v>
      </c>
      <c r="E70" s="254">
        <f t="shared" si="38"/>
        <v>-134976</v>
      </c>
      <c r="F70" s="254">
        <f>F71</f>
        <v>-134976.24</v>
      </c>
      <c r="G70" s="254">
        <f t="shared" si="36"/>
        <v>-0.23999999999068677</v>
      </c>
      <c r="J70" s="1"/>
    </row>
    <row r="71" spans="1:10" s="282" customFormat="1" x14ac:dyDescent="0.35">
      <c r="A71" s="279"/>
      <c r="B71" s="279"/>
      <c r="C71" s="279" t="s">
        <v>1052</v>
      </c>
      <c r="D71" s="280">
        <v>-134976</v>
      </c>
      <c r="E71" s="280">
        <f t="shared" si="38"/>
        <v>-134976</v>
      </c>
      <c r="F71" s="280">
        <v>-134976.24</v>
      </c>
      <c r="G71" s="280">
        <f t="shared" si="36"/>
        <v>-0.23999999999068677</v>
      </c>
      <c r="H71" s="281"/>
      <c r="I71" s="281"/>
      <c r="J71" s="1"/>
    </row>
    <row r="72" spans="1:10" x14ac:dyDescent="0.35">
      <c r="A72" s="274"/>
      <c r="B72" s="274"/>
      <c r="C72" s="274" t="s">
        <v>1045</v>
      </c>
      <c r="D72" s="255">
        <f>SUM(D73:D73)</f>
        <v>-3195410</v>
      </c>
      <c r="E72" s="255">
        <f>SUM(E73:E73)</f>
        <v>-3195410</v>
      </c>
      <c r="F72" s="255">
        <f>SUM(F73:F73)</f>
        <v>-3125308.73</v>
      </c>
      <c r="G72" s="255">
        <f>F72-E72</f>
        <v>70101.270000000019</v>
      </c>
      <c r="J72" s="1"/>
    </row>
    <row r="73" spans="1:10" x14ac:dyDescent="0.35">
      <c r="A73" s="273"/>
      <c r="B73" s="273"/>
      <c r="C73" s="273" t="s">
        <v>742</v>
      </c>
      <c r="D73" s="254">
        <f>-2052050-1143360</f>
        <v>-3195410</v>
      </c>
      <c r="E73" s="254">
        <f t="shared" ref="E73" si="39">D73</f>
        <v>-3195410</v>
      </c>
      <c r="F73" s="254">
        <v>-3125308.73</v>
      </c>
      <c r="G73" s="254">
        <f t="shared" ref="G73" si="40">F73-E73</f>
        <v>70101.270000000019</v>
      </c>
      <c r="H73" s="248" t="s">
        <v>1170</v>
      </c>
      <c r="J73" s="1"/>
    </row>
    <row r="74" spans="1:10" x14ac:dyDescent="0.35">
      <c r="A74" s="274"/>
      <c r="B74" s="274" t="s">
        <v>1051</v>
      </c>
      <c r="C74" s="274"/>
      <c r="D74" s="255">
        <f>SUM(D75:D79)</f>
        <v>-946060</v>
      </c>
      <c r="E74" s="255">
        <f t="shared" ref="E74:G74" si="41">SUM(E75:E79)</f>
        <v>-1245328.32</v>
      </c>
      <c r="F74" s="255">
        <f t="shared" si="41"/>
        <v>-1049687.47</v>
      </c>
      <c r="G74" s="255">
        <f t="shared" si="41"/>
        <v>195640.85000000003</v>
      </c>
      <c r="J74" s="1"/>
    </row>
    <row r="75" spans="1:10" x14ac:dyDescent="0.35">
      <c r="A75" s="273"/>
      <c r="B75" s="273"/>
      <c r="C75" s="273" t="s">
        <v>1194</v>
      </c>
      <c r="D75" s="254">
        <v>0</v>
      </c>
      <c r="E75" s="254">
        <v>-325117.58</v>
      </c>
      <c r="F75" s="254">
        <v>0</v>
      </c>
      <c r="G75" s="254">
        <f>F75-E75</f>
        <v>325117.58</v>
      </c>
      <c r="J75" s="1"/>
    </row>
    <row r="76" spans="1:10" x14ac:dyDescent="0.35">
      <c r="A76" s="273"/>
      <c r="B76" s="273"/>
      <c r="C76" s="273" t="s">
        <v>739</v>
      </c>
      <c r="D76" s="254">
        <f>D81+D86</f>
        <v>-537270</v>
      </c>
      <c r="E76" s="254">
        <f>E81+E86</f>
        <v>-520970</v>
      </c>
      <c r="F76" s="254">
        <f>F81+F86</f>
        <v>-566754.74</v>
      </c>
      <c r="G76" s="254">
        <f t="shared" ref="G76:G79" si="42">F76-E76</f>
        <v>-45784.739999999991</v>
      </c>
      <c r="J76" s="1"/>
    </row>
    <row r="77" spans="1:10" x14ac:dyDescent="0.35">
      <c r="A77" s="273"/>
      <c r="B77" s="273"/>
      <c r="C77" s="273" t="s">
        <v>740</v>
      </c>
      <c r="D77" s="254">
        <f>D82+D87</f>
        <v>-405290</v>
      </c>
      <c r="E77" s="254">
        <f>E82+E87</f>
        <v>-395740.74</v>
      </c>
      <c r="F77" s="254">
        <f t="shared" ref="F77" si="43">F82+F87</f>
        <v>-440167.73</v>
      </c>
      <c r="G77" s="254">
        <f t="shared" si="42"/>
        <v>-44426.989999999991</v>
      </c>
      <c r="J77" s="1"/>
    </row>
    <row r="78" spans="1:10" x14ac:dyDescent="0.35">
      <c r="A78" s="273"/>
      <c r="B78" s="273"/>
      <c r="C78" s="273" t="s">
        <v>1033</v>
      </c>
      <c r="D78" s="254">
        <f>D83</f>
        <v>-3500</v>
      </c>
      <c r="E78" s="254">
        <f>E83</f>
        <v>-3500</v>
      </c>
      <c r="F78" s="254">
        <f>F83+F88</f>
        <v>-23274.36</v>
      </c>
      <c r="G78" s="254">
        <f t="shared" si="42"/>
        <v>-19774.36</v>
      </c>
      <c r="J78" s="1"/>
    </row>
    <row r="79" spans="1:10" x14ac:dyDescent="0.35">
      <c r="A79" s="273"/>
      <c r="B79" s="273"/>
      <c r="C79" s="273" t="s">
        <v>1035</v>
      </c>
      <c r="D79" s="254">
        <v>0</v>
      </c>
      <c r="E79" s="254">
        <v>0</v>
      </c>
      <c r="F79" s="254">
        <f>F89+F90</f>
        <v>-19490.64</v>
      </c>
      <c r="G79" s="254">
        <f t="shared" si="42"/>
        <v>-19490.64</v>
      </c>
      <c r="J79" s="1"/>
    </row>
    <row r="80" spans="1:10" x14ac:dyDescent="0.35">
      <c r="A80" s="274"/>
      <c r="B80" s="274"/>
      <c r="C80" s="274" t="s">
        <v>1037</v>
      </c>
      <c r="D80" s="255">
        <f>SUM(D81:D83)</f>
        <v>-894060</v>
      </c>
      <c r="E80" s="255">
        <f t="shared" ref="E80:F80" si="44">SUM(E81:E83)</f>
        <v>-920210.74</v>
      </c>
      <c r="F80" s="255">
        <f t="shared" si="44"/>
        <v>-875822.88</v>
      </c>
      <c r="G80" s="255">
        <f>F80-E80</f>
        <v>44387.859999999986</v>
      </c>
      <c r="J80" s="1"/>
    </row>
    <row r="81" spans="1:10" x14ac:dyDescent="0.35">
      <c r="A81" s="273"/>
      <c r="B81" s="273"/>
      <c r="C81" s="273" t="s">
        <v>739</v>
      </c>
      <c r="D81" s="254">
        <v>-520970</v>
      </c>
      <c r="E81" s="254">
        <f t="shared" ref="E81" si="45">D81</f>
        <v>-520970</v>
      </c>
      <c r="F81" s="254">
        <v>-507754.21</v>
      </c>
      <c r="G81" s="254">
        <f t="shared" ref="G81:G82" si="46">F81-E81</f>
        <v>13215.789999999979</v>
      </c>
      <c r="J81" s="1"/>
    </row>
    <row r="82" spans="1:10" x14ac:dyDescent="0.35">
      <c r="A82" s="273"/>
      <c r="B82" s="273"/>
      <c r="C82" s="273" t="s">
        <v>740</v>
      </c>
      <c r="D82" s="254">
        <v>-369590</v>
      </c>
      <c r="E82" s="254">
        <f>D82-26150.74</f>
        <v>-395740.74</v>
      </c>
      <c r="F82" s="254">
        <v>-364568.67</v>
      </c>
      <c r="G82" s="254">
        <f t="shared" si="46"/>
        <v>31172.070000000007</v>
      </c>
      <c r="I82" s="248">
        <f>D82-E82</f>
        <v>26150.739999999991</v>
      </c>
      <c r="J82" s="1"/>
    </row>
    <row r="83" spans="1:10" x14ac:dyDescent="0.35">
      <c r="A83" s="273"/>
      <c r="B83" s="273"/>
      <c r="C83" s="273" t="s">
        <v>1033</v>
      </c>
      <c r="D83" s="254">
        <v>-3500</v>
      </c>
      <c r="E83" s="254">
        <f t="shared" ref="E83" si="47">D83</f>
        <v>-3500</v>
      </c>
      <c r="F83" s="254">
        <v>-3500</v>
      </c>
      <c r="G83" s="254">
        <f t="shared" ref="G83" si="48">F83-E83</f>
        <v>0</v>
      </c>
      <c r="J83" s="1"/>
    </row>
    <row r="84" spans="1:10" x14ac:dyDescent="0.35">
      <c r="A84" s="274"/>
      <c r="B84" s="274"/>
      <c r="C84" s="274" t="s">
        <v>1040</v>
      </c>
      <c r="D84" s="255">
        <f>SUM(D86:D87)</f>
        <v>-52000</v>
      </c>
      <c r="E84" s="255">
        <f>SUM(E85:E89)</f>
        <v>-325117.58</v>
      </c>
      <c r="F84" s="255">
        <f t="shared" ref="F84:G84" si="49">SUM(F85:F89)</f>
        <v>-154593.59000000003</v>
      </c>
      <c r="G84" s="255">
        <f t="shared" si="49"/>
        <v>170523.99000000005</v>
      </c>
      <c r="I84" s="248">
        <f>D84-E84</f>
        <v>273117.58</v>
      </c>
      <c r="J84" s="1">
        <f>D84-E84</f>
        <v>273117.58</v>
      </c>
    </row>
    <row r="85" spans="1:10" x14ac:dyDescent="0.35">
      <c r="A85" s="273"/>
      <c r="B85" s="273"/>
      <c r="C85" s="273" t="s">
        <v>1194</v>
      </c>
      <c r="D85" s="254">
        <v>0</v>
      </c>
      <c r="E85" s="254">
        <v>-325117.58</v>
      </c>
      <c r="F85" s="254">
        <v>0</v>
      </c>
      <c r="G85" s="254">
        <f>F85-E85</f>
        <v>325117.58</v>
      </c>
      <c r="J85" s="1"/>
    </row>
    <row r="86" spans="1:10" x14ac:dyDescent="0.35">
      <c r="A86" s="273"/>
      <c r="B86" s="273"/>
      <c r="C86" s="273" t="s">
        <v>739</v>
      </c>
      <c r="D86" s="254">
        <v>-16300</v>
      </c>
      <c r="E86" s="254">
        <f>D86+16300</f>
        <v>0</v>
      </c>
      <c r="F86" s="254">
        <v>-59000.53</v>
      </c>
      <c r="G86" s="254">
        <f t="shared" ref="G86:G91" si="50">F86-E86</f>
        <v>-59000.53</v>
      </c>
      <c r="J86" s="1"/>
    </row>
    <row r="87" spans="1:10" x14ac:dyDescent="0.35">
      <c r="A87" s="274"/>
      <c r="B87" s="274"/>
      <c r="C87" s="273" t="s">
        <v>740</v>
      </c>
      <c r="D87" s="254">
        <f>-2000-33700</f>
        <v>-35700</v>
      </c>
      <c r="E87" s="254">
        <f>D87+35700</f>
        <v>0</v>
      </c>
      <c r="F87" s="254">
        <v>-75599.06</v>
      </c>
      <c r="G87" s="254">
        <f t="shared" si="50"/>
        <v>-75599.06</v>
      </c>
      <c r="J87" s="1"/>
    </row>
    <row r="88" spans="1:10" x14ac:dyDescent="0.35">
      <c r="A88" s="273"/>
      <c r="B88" s="273"/>
      <c r="C88" s="273" t="s">
        <v>1033</v>
      </c>
      <c r="D88" s="254">
        <v>0</v>
      </c>
      <c r="E88" s="254">
        <v>0</v>
      </c>
      <c r="F88" s="254">
        <v>-19774.36</v>
      </c>
      <c r="G88" s="254">
        <f t="shared" si="50"/>
        <v>-19774.36</v>
      </c>
      <c r="J88" s="1"/>
    </row>
    <row r="89" spans="1:10" x14ac:dyDescent="0.35">
      <c r="A89" s="273"/>
      <c r="B89" s="273"/>
      <c r="C89" s="273" t="s">
        <v>742</v>
      </c>
      <c r="D89" s="254">
        <v>0</v>
      </c>
      <c r="E89" s="254">
        <v>0</v>
      </c>
      <c r="F89" s="254">
        <v>-219.64</v>
      </c>
      <c r="G89" s="254">
        <f t="shared" si="50"/>
        <v>-219.64</v>
      </c>
      <c r="J89" s="1"/>
    </row>
    <row r="90" spans="1:10" x14ac:dyDescent="0.35">
      <c r="A90" s="274"/>
      <c r="B90" s="274"/>
      <c r="C90" s="274" t="s">
        <v>1042</v>
      </c>
      <c r="D90" s="255">
        <v>0</v>
      </c>
      <c r="E90" s="255">
        <f>D90</f>
        <v>0</v>
      </c>
      <c r="F90" s="255">
        <v>-19271</v>
      </c>
      <c r="G90" s="255">
        <f>F90-E90</f>
        <v>-19271</v>
      </c>
      <c r="J90" s="1"/>
    </row>
    <row r="91" spans="1:10" s="64" customFormat="1" ht="15" x14ac:dyDescent="0.35">
      <c r="A91" s="283" t="s">
        <v>1053</v>
      </c>
      <c r="B91" s="274"/>
      <c r="C91" s="274"/>
      <c r="D91" s="255">
        <f>SUM(D92:D95)</f>
        <v>-43828051</v>
      </c>
      <c r="E91" s="255">
        <f>SUM(E92:E95)</f>
        <v>-49957417.319999993</v>
      </c>
      <c r="F91" s="255">
        <f>SUM(F92:F95)</f>
        <v>-49800840.659999996</v>
      </c>
      <c r="G91" s="255">
        <f t="shared" si="50"/>
        <v>156576.65999999642</v>
      </c>
      <c r="H91" s="248"/>
      <c r="I91" s="248"/>
      <c r="J91" s="1"/>
    </row>
    <row r="92" spans="1:10" x14ac:dyDescent="0.35">
      <c r="A92" s="273"/>
      <c r="B92" s="273" t="s">
        <v>1037</v>
      </c>
      <c r="C92" s="273"/>
      <c r="D92" s="254">
        <f>D101</f>
        <v>-40000906</v>
      </c>
      <c r="E92" s="254">
        <f t="shared" ref="E92" si="51">E101</f>
        <v>-40266271.479999997</v>
      </c>
      <c r="F92" s="254">
        <f>F101</f>
        <v>-40216702</v>
      </c>
      <c r="G92" s="254">
        <f t="shared" ref="G92:G95" si="52">F92-E92</f>
        <v>49569.479999996722</v>
      </c>
      <c r="J92" s="1"/>
    </row>
    <row r="93" spans="1:10" x14ac:dyDescent="0.35">
      <c r="A93" s="273"/>
      <c r="B93" s="273" t="s">
        <v>1038</v>
      </c>
      <c r="C93" s="273"/>
      <c r="D93" s="254">
        <f>D103</f>
        <v>-445185</v>
      </c>
      <c r="E93" s="254">
        <f t="shared" ref="E93:F93" si="53">E103</f>
        <v>-445185</v>
      </c>
      <c r="F93" s="254">
        <f t="shared" si="53"/>
        <v>-445104.51</v>
      </c>
      <c r="G93" s="254">
        <f t="shared" si="52"/>
        <v>80.489999999990687</v>
      </c>
      <c r="J93" s="1"/>
    </row>
    <row r="94" spans="1:10" x14ac:dyDescent="0.35">
      <c r="A94" s="273"/>
      <c r="B94" s="273" t="s">
        <v>1040</v>
      </c>
      <c r="C94" s="273"/>
      <c r="D94" s="254">
        <v>0</v>
      </c>
      <c r="E94" s="254">
        <f>E108</f>
        <v>-5864000.8399999999</v>
      </c>
      <c r="F94" s="254">
        <f>F108</f>
        <v>-5836121.8700000001</v>
      </c>
      <c r="G94" s="254">
        <f>F94-E94</f>
        <v>27878.969999999739</v>
      </c>
      <c r="J94" s="1"/>
    </row>
    <row r="95" spans="1:10" x14ac:dyDescent="0.35">
      <c r="A95" s="273"/>
      <c r="B95" s="273" t="s">
        <v>1045</v>
      </c>
      <c r="C95" s="273"/>
      <c r="D95" s="254">
        <f>D111</f>
        <v>-3381960</v>
      </c>
      <c r="E95" s="254">
        <f>E111</f>
        <v>-3381960</v>
      </c>
      <c r="F95" s="254">
        <f>F111</f>
        <v>-3302912.28</v>
      </c>
      <c r="G95" s="254">
        <f t="shared" si="52"/>
        <v>79047.720000000205</v>
      </c>
      <c r="J95" s="1"/>
    </row>
    <row r="96" spans="1:10" x14ac:dyDescent="0.35">
      <c r="A96" s="274"/>
      <c r="B96" s="274" t="s">
        <v>88</v>
      </c>
      <c r="C96" s="274"/>
      <c r="D96" s="255">
        <f>SUM(D97:D100)</f>
        <v>-43828051</v>
      </c>
      <c r="E96" s="255">
        <f t="shared" ref="E96:G96" si="54">SUM(E97:E100)</f>
        <v>-49957417.319999993</v>
      </c>
      <c r="F96" s="255">
        <f t="shared" si="54"/>
        <v>-49800840.659999996</v>
      </c>
      <c r="G96" s="255">
        <f t="shared" si="54"/>
        <v>156576.66000000248</v>
      </c>
      <c r="J96" s="1"/>
    </row>
    <row r="97" spans="1:10" x14ac:dyDescent="0.35">
      <c r="A97" s="274"/>
      <c r="B97" s="274"/>
      <c r="C97" s="273" t="s">
        <v>1194</v>
      </c>
      <c r="D97" s="254">
        <v>0</v>
      </c>
      <c r="E97" s="254">
        <v>-5864000.8399999999</v>
      </c>
      <c r="F97" s="254">
        <v>0</v>
      </c>
      <c r="G97" s="254">
        <f t="shared" ref="G97:G100" si="55">F97-E97</f>
        <v>5864000.8399999999</v>
      </c>
      <c r="J97" s="1"/>
    </row>
    <row r="98" spans="1:10" x14ac:dyDescent="0.35">
      <c r="A98" s="273"/>
      <c r="B98" s="273"/>
      <c r="C98" s="273" t="s">
        <v>1033</v>
      </c>
      <c r="D98" s="254">
        <f>D104</f>
        <v>-22259</v>
      </c>
      <c r="E98" s="254">
        <f t="shared" ref="E98:F98" si="56">E104</f>
        <v>-22259</v>
      </c>
      <c r="F98" s="254">
        <f t="shared" si="56"/>
        <v>-22178.959999999999</v>
      </c>
      <c r="G98" s="254">
        <f t="shared" si="55"/>
        <v>80.040000000000873</v>
      </c>
      <c r="J98" s="1"/>
    </row>
    <row r="99" spans="1:10" x14ac:dyDescent="0.35">
      <c r="A99" s="273"/>
      <c r="B99" s="273"/>
      <c r="C99" s="273" t="s">
        <v>1034</v>
      </c>
      <c r="D99" s="254">
        <f>D106+D102</f>
        <v>-40423832</v>
      </c>
      <c r="E99" s="254">
        <f>E106+E102+E110</f>
        <v>-40689197.479999997</v>
      </c>
      <c r="F99" s="254">
        <f>F106+F102+F110</f>
        <v>-46475749.419999994</v>
      </c>
      <c r="G99" s="254">
        <f t="shared" si="55"/>
        <v>-5786551.9399999976</v>
      </c>
      <c r="J99" s="1"/>
    </row>
    <row r="100" spans="1:10" x14ac:dyDescent="0.35">
      <c r="A100" s="273"/>
      <c r="B100" s="273"/>
      <c r="C100" s="273" t="s">
        <v>1035</v>
      </c>
      <c r="D100" s="254">
        <f>D112</f>
        <v>-3381960</v>
      </c>
      <c r="E100" s="254">
        <f t="shared" ref="E100:F100" si="57">E112</f>
        <v>-3381960</v>
      </c>
      <c r="F100" s="254">
        <f t="shared" si="57"/>
        <v>-3302912.28</v>
      </c>
      <c r="G100" s="254">
        <f t="shared" si="55"/>
        <v>79047.720000000205</v>
      </c>
      <c r="J100" s="1"/>
    </row>
    <row r="101" spans="1:10" x14ac:dyDescent="0.35">
      <c r="A101" s="274"/>
      <c r="B101" s="274"/>
      <c r="C101" s="274" t="s">
        <v>1037</v>
      </c>
      <c r="D101" s="255">
        <f>SUM(D102:D102)</f>
        <v>-40000906</v>
      </c>
      <c r="E101" s="255">
        <f>SUM(E102:E102)</f>
        <v>-40266271.479999997</v>
      </c>
      <c r="F101" s="255">
        <f>SUM(F102:F102)</f>
        <v>-40216702</v>
      </c>
      <c r="G101" s="255">
        <f>F101-E101</f>
        <v>49569.479999996722</v>
      </c>
      <c r="J101" s="1"/>
    </row>
    <row r="102" spans="1:10" x14ac:dyDescent="0.35">
      <c r="A102" s="273"/>
      <c r="B102" s="273"/>
      <c r="C102" s="273" t="s">
        <v>1034</v>
      </c>
      <c r="D102" s="254">
        <v>-40000906</v>
      </c>
      <c r="E102" s="254">
        <f>D102-265365.48</f>
        <v>-40266271.479999997</v>
      </c>
      <c r="F102" s="254">
        <v>-40216702</v>
      </c>
      <c r="G102" s="254">
        <f t="shared" ref="G102" si="58">F102-E102</f>
        <v>49569.479999996722</v>
      </c>
      <c r="I102" s="248">
        <f>D102-E102</f>
        <v>265365.47999999672</v>
      </c>
      <c r="J102" s="1"/>
    </row>
    <row r="103" spans="1:10" s="64" customFormat="1" x14ac:dyDescent="0.35">
      <c r="A103" s="274"/>
      <c r="B103" s="274"/>
      <c r="C103" s="274" t="s">
        <v>1038</v>
      </c>
      <c r="D103" s="255">
        <f>D104+D106</f>
        <v>-445185</v>
      </c>
      <c r="E103" s="255">
        <f t="shared" ref="E103:F103" si="59">E104+E106</f>
        <v>-445185</v>
      </c>
      <c r="F103" s="255">
        <f t="shared" si="59"/>
        <v>-445104.51</v>
      </c>
      <c r="G103" s="255">
        <f>F103-E103</f>
        <v>80.489999999990687</v>
      </c>
      <c r="H103" s="248"/>
      <c r="I103" s="248"/>
      <c r="J103" s="1"/>
    </row>
    <row r="104" spans="1:10" x14ac:dyDescent="0.35">
      <c r="A104" s="273"/>
      <c r="B104" s="273"/>
      <c r="C104" s="273" t="s">
        <v>1033</v>
      </c>
      <c r="D104" s="254">
        <f>D105</f>
        <v>-22259</v>
      </c>
      <c r="E104" s="254">
        <f t="shared" ref="E104:E107" si="60">D104</f>
        <v>-22259</v>
      </c>
      <c r="F104" s="254">
        <f>F105</f>
        <v>-22178.959999999999</v>
      </c>
      <c r="G104" s="254">
        <f t="shared" ref="G104:G107" si="61">F104-E104</f>
        <v>80.040000000000873</v>
      </c>
      <c r="J104" s="1"/>
    </row>
    <row r="105" spans="1:10" s="282" customFormat="1" x14ac:dyDescent="0.35">
      <c r="A105" s="279"/>
      <c r="B105" s="279"/>
      <c r="C105" s="279" t="s">
        <v>1052</v>
      </c>
      <c r="D105" s="280">
        <v>-22259</v>
      </c>
      <c r="E105" s="280">
        <f t="shared" si="60"/>
        <v>-22259</v>
      </c>
      <c r="F105" s="280">
        <v>-22178.959999999999</v>
      </c>
      <c r="G105" s="280">
        <f t="shared" si="61"/>
        <v>80.040000000000873</v>
      </c>
      <c r="H105" s="281"/>
      <c r="I105" s="281"/>
      <c r="J105" s="1"/>
    </row>
    <row r="106" spans="1:10" x14ac:dyDescent="0.35">
      <c r="A106" s="273"/>
      <c r="B106" s="273"/>
      <c r="C106" s="273" t="s">
        <v>1034</v>
      </c>
      <c r="D106" s="254">
        <f>D107</f>
        <v>-422926</v>
      </c>
      <c r="E106" s="254">
        <f t="shared" si="60"/>
        <v>-422926</v>
      </c>
      <c r="F106" s="254">
        <f>F107</f>
        <v>-422925.55</v>
      </c>
      <c r="G106" s="254">
        <f t="shared" si="61"/>
        <v>0.45000000001164153</v>
      </c>
      <c r="J106" s="1"/>
    </row>
    <row r="107" spans="1:10" s="282" customFormat="1" x14ac:dyDescent="0.35">
      <c r="A107" s="279"/>
      <c r="B107" s="279"/>
      <c r="C107" s="279" t="s">
        <v>1052</v>
      </c>
      <c r="D107" s="280">
        <v>-422926</v>
      </c>
      <c r="E107" s="280">
        <f t="shared" si="60"/>
        <v>-422926</v>
      </c>
      <c r="F107" s="280">
        <v>-422925.55</v>
      </c>
      <c r="G107" s="280">
        <f t="shared" si="61"/>
        <v>0.45000000001164153</v>
      </c>
      <c r="H107" s="281"/>
      <c r="I107" s="281"/>
      <c r="J107" s="1"/>
    </row>
    <row r="108" spans="1:10" x14ac:dyDescent="0.35">
      <c r="A108" s="274"/>
      <c r="B108" s="274"/>
      <c r="C108" s="274" t="s">
        <v>1040</v>
      </c>
      <c r="D108" s="255">
        <f>SUM(D109:D110)</f>
        <v>0</v>
      </c>
      <c r="E108" s="255">
        <f t="shared" ref="E108:G108" si="62">SUM(E109:E110)</f>
        <v>-5864000.8399999999</v>
      </c>
      <c r="F108" s="255">
        <f t="shared" si="62"/>
        <v>-5836121.8700000001</v>
      </c>
      <c r="G108" s="255">
        <f t="shared" si="62"/>
        <v>27878.969999999739</v>
      </c>
      <c r="J108" s="1"/>
    </row>
    <row r="109" spans="1:10" x14ac:dyDescent="0.35">
      <c r="A109" s="274"/>
      <c r="B109" s="274"/>
      <c r="C109" s="273" t="s">
        <v>1194</v>
      </c>
      <c r="D109" s="254">
        <v>0</v>
      </c>
      <c r="E109" s="254">
        <v>-5864000.8399999999</v>
      </c>
      <c r="F109" s="254">
        <v>0</v>
      </c>
      <c r="G109" s="254">
        <f t="shared" ref="G109:G110" si="63">F109-E109</f>
        <v>5864000.8399999999</v>
      </c>
      <c r="J109" s="1"/>
    </row>
    <row r="110" spans="1:10" x14ac:dyDescent="0.35">
      <c r="A110" s="273"/>
      <c r="B110" s="273"/>
      <c r="C110" s="273" t="s">
        <v>1034</v>
      </c>
      <c r="D110" s="254">
        <v>0</v>
      </c>
      <c r="E110" s="254">
        <v>0</v>
      </c>
      <c r="F110" s="254">
        <v>-5836121.8700000001</v>
      </c>
      <c r="G110" s="254">
        <f t="shared" si="63"/>
        <v>-5836121.8700000001</v>
      </c>
      <c r="H110" s="248" t="s">
        <v>1170</v>
      </c>
      <c r="I110" s="248">
        <f>D110-E110</f>
        <v>0</v>
      </c>
      <c r="J110" s="1"/>
    </row>
    <row r="111" spans="1:10" x14ac:dyDescent="0.35">
      <c r="A111" s="274"/>
      <c r="B111" s="274"/>
      <c r="C111" s="274" t="s">
        <v>1045</v>
      </c>
      <c r="D111" s="255">
        <f>SUM(D112:D112)</f>
        <v>-3381960</v>
      </c>
      <c r="E111" s="255">
        <f>SUM(E112:E112)</f>
        <v>-3381960</v>
      </c>
      <c r="F111" s="255">
        <f>SUM(F112:F112)</f>
        <v>-3302912.28</v>
      </c>
      <c r="G111" s="255">
        <f>F111-E111</f>
        <v>79047.720000000205</v>
      </c>
      <c r="J111" s="1"/>
    </row>
    <row r="112" spans="1:10" x14ac:dyDescent="0.35">
      <c r="A112" s="273"/>
      <c r="B112" s="273"/>
      <c r="C112" s="273" t="s">
        <v>742</v>
      </c>
      <c r="D112" s="254">
        <f>-2238600-1143360</f>
        <v>-3381960</v>
      </c>
      <c r="E112" s="254">
        <f t="shared" ref="E112" si="64">D112</f>
        <v>-3381960</v>
      </c>
      <c r="F112" s="254">
        <v>-3302912.28</v>
      </c>
      <c r="G112" s="254">
        <f t="shared" ref="G112:G116" si="65">F112-E112</f>
        <v>79047.720000000205</v>
      </c>
      <c r="H112" s="248" t="s">
        <v>1170</v>
      </c>
      <c r="J112" s="1"/>
    </row>
    <row r="113" spans="1:10" s="64" customFormat="1" ht="15" x14ac:dyDescent="0.35">
      <c r="A113" s="283" t="s">
        <v>1054</v>
      </c>
      <c r="B113" s="274"/>
      <c r="C113" s="274"/>
      <c r="D113" s="255">
        <f>SUM(D114:D116)</f>
        <v>-20779321</v>
      </c>
      <c r="E113" s="255">
        <f t="shared" ref="E113" si="66">SUM(E114:E116)</f>
        <v>-21602239.120000001</v>
      </c>
      <c r="F113" s="255">
        <f t="shared" ref="F113" si="67">SUM(F114:F116)</f>
        <v>-17834510.949999999</v>
      </c>
      <c r="G113" s="255">
        <f t="shared" si="65"/>
        <v>3767728.1700000018</v>
      </c>
      <c r="H113" s="248"/>
      <c r="I113" s="248"/>
      <c r="J113" s="1"/>
    </row>
    <row r="114" spans="1:10" x14ac:dyDescent="0.35">
      <c r="A114" s="273"/>
      <c r="B114" s="273" t="s">
        <v>1037</v>
      </c>
      <c r="C114" s="273"/>
      <c r="D114" s="254">
        <f>D121</f>
        <v>-16575028</v>
      </c>
      <c r="E114" s="254">
        <f t="shared" ref="E114" si="68">E121</f>
        <v>-17397946.120000001</v>
      </c>
      <c r="F114" s="254">
        <f>F121</f>
        <v>-13720111.32</v>
      </c>
      <c r="G114" s="254">
        <f t="shared" si="65"/>
        <v>3677834.8000000007</v>
      </c>
      <c r="J114" s="1"/>
    </row>
    <row r="115" spans="1:10" x14ac:dyDescent="0.35">
      <c r="A115" s="273"/>
      <c r="B115" s="273" t="s">
        <v>1038</v>
      </c>
      <c r="C115" s="273"/>
      <c r="D115" s="254">
        <f>D123</f>
        <v>-163393</v>
      </c>
      <c r="E115" s="254">
        <f t="shared" ref="E115:F115" si="69">E123</f>
        <v>-163393</v>
      </c>
      <c r="F115" s="254">
        <f t="shared" si="69"/>
        <v>-163362.82999999999</v>
      </c>
      <c r="G115" s="254">
        <f t="shared" si="65"/>
        <v>30.170000000012806</v>
      </c>
      <c r="J115" s="1"/>
    </row>
    <row r="116" spans="1:10" x14ac:dyDescent="0.35">
      <c r="A116" s="273"/>
      <c r="B116" s="273" t="s">
        <v>1045</v>
      </c>
      <c r="C116" s="273"/>
      <c r="D116" s="254">
        <f>D128</f>
        <v>-4040900</v>
      </c>
      <c r="E116" s="254">
        <f t="shared" ref="E116:F116" si="70">E128</f>
        <v>-4040900</v>
      </c>
      <c r="F116" s="254">
        <f t="shared" si="70"/>
        <v>-3951036.8</v>
      </c>
      <c r="G116" s="254">
        <f t="shared" si="65"/>
        <v>89863.200000000186</v>
      </c>
      <c r="J116" s="1"/>
    </row>
    <row r="117" spans="1:10" x14ac:dyDescent="0.35">
      <c r="A117" s="274"/>
      <c r="B117" s="274" t="s">
        <v>88</v>
      </c>
      <c r="C117" s="274"/>
      <c r="D117" s="255">
        <f>SUM(D118:D120)</f>
        <v>-20779321</v>
      </c>
      <c r="E117" s="255">
        <f t="shared" ref="E117:F117" si="71">SUM(E118:E120)</f>
        <v>-21602239.120000001</v>
      </c>
      <c r="F117" s="255">
        <f t="shared" si="71"/>
        <v>-17834510.949999999</v>
      </c>
      <c r="G117" s="255">
        <f>F117-E117</f>
        <v>3767728.1700000018</v>
      </c>
      <c r="J117" s="1"/>
    </row>
    <row r="118" spans="1:10" x14ac:dyDescent="0.35">
      <c r="A118" s="273"/>
      <c r="B118" s="273"/>
      <c r="C118" s="273" t="s">
        <v>1033</v>
      </c>
      <c r="D118" s="254">
        <f>D124</f>
        <v>-8170</v>
      </c>
      <c r="E118" s="254">
        <f t="shared" ref="E118:F118" si="72">E124</f>
        <v>-8170</v>
      </c>
      <c r="F118" s="254">
        <f t="shared" si="72"/>
        <v>-8140.15</v>
      </c>
      <c r="G118" s="254">
        <f t="shared" ref="G118:G120" si="73">F118-E118</f>
        <v>29.850000000000364</v>
      </c>
      <c r="J118" s="1"/>
    </row>
    <row r="119" spans="1:10" x14ac:dyDescent="0.35">
      <c r="A119" s="273"/>
      <c r="B119" s="273"/>
      <c r="C119" s="273" t="s">
        <v>1034</v>
      </c>
      <c r="D119" s="254">
        <f>D126+D122</f>
        <v>-16730251</v>
      </c>
      <c r="E119" s="254">
        <f t="shared" ref="E119:F119" si="74">E126+E122</f>
        <v>-17553169.120000001</v>
      </c>
      <c r="F119" s="254">
        <f t="shared" si="74"/>
        <v>-13875334</v>
      </c>
      <c r="G119" s="254">
        <f t="shared" si="73"/>
        <v>3677835.120000001</v>
      </c>
      <c r="J119" s="1"/>
    </row>
    <row r="120" spans="1:10" x14ac:dyDescent="0.35">
      <c r="A120" s="273"/>
      <c r="B120" s="273"/>
      <c r="C120" s="273" t="s">
        <v>1035</v>
      </c>
      <c r="D120" s="254">
        <f>D129</f>
        <v>-4040900</v>
      </c>
      <c r="E120" s="254">
        <f t="shared" ref="E120:F120" si="75">E129</f>
        <v>-4040900</v>
      </c>
      <c r="F120" s="254">
        <f t="shared" si="75"/>
        <v>-3951036.8</v>
      </c>
      <c r="G120" s="254">
        <f t="shared" si="73"/>
        <v>89863.200000000186</v>
      </c>
      <c r="J120" s="1"/>
    </row>
    <row r="121" spans="1:10" x14ac:dyDescent="0.35">
      <c r="A121" s="274"/>
      <c r="B121" s="274"/>
      <c r="C121" s="274" t="s">
        <v>1037</v>
      </c>
      <c r="D121" s="255">
        <f>SUM(D122:D122)</f>
        <v>-16575028</v>
      </c>
      <c r="E121" s="255">
        <f>SUM(E122:E122)</f>
        <v>-17397946.120000001</v>
      </c>
      <c r="F121" s="255">
        <f>SUM(F122:F122)</f>
        <v>-13720111.32</v>
      </c>
      <c r="G121" s="255">
        <f>F121-E121</f>
        <v>3677834.8000000007</v>
      </c>
      <c r="J121" s="1"/>
    </row>
    <row r="122" spans="1:10" x14ac:dyDescent="0.35">
      <c r="A122" s="273"/>
      <c r="B122" s="273"/>
      <c r="C122" s="273" t="s">
        <v>1034</v>
      </c>
      <c r="D122" s="254">
        <v>-16575028</v>
      </c>
      <c r="E122" s="254">
        <f>D122-822918.12</f>
        <v>-17397946.120000001</v>
      </c>
      <c r="F122" s="254">
        <v>-13720111.32</v>
      </c>
      <c r="G122" s="254">
        <f t="shared" ref="G122" si="76">F122-E122</f>
        <v>3677834.8000000007</v>
      </c>
      <c r="I122" s="248">
        <f>D122-E122</f>
        <v>822918.12000000104</v>
      </c>
      <c r="J122" s="1"/>
    </row>
    <row r="123" spans="1:10" s="64" customFormat="1" x14ac:dyDescent="0.35">
      <c r="A123" s="274"/>
      <c r="B123" s="274"/>
      <c r="C123" s="274" t="s">
        <v>1038</v>
      </c>
      <c r="D123" s="255">
        <f>D124+D126</f>
        <v>-163393</v>
      </c>
      <c r="E123" s="255">
        <f t="shared" ref="E123:F123" si="77">E124+E126</f>
        <v>-163393</v>
      </c>
      <c r="F123" s="255">
        <f t="shared" si="77"/>
        <v>-163362.82999999999</v>
      </c>
      <c r="G123" s="255">
        <f>F123-E123</f>
        <v>30.170000000012806</v>
      </c>
      <c r="H123" s="248"/>
      <c r="I123" s="248"/>
      <c r="J123" s="1"/>
    </row>
    <row r="124" spans="1:10" x14ac:dyDescent="0.35">
      <c r="A124" s="273"/>
      <c r="B124" s="273"/>
      <c r="C124" s="273" t="s">
        <v>1033</v>
      </c>
      <c r="D124" s="254">
        <f>D125</f>
        <v>-8170</v>
      </c>
      <c r="E124" s="254">
        <f t="shared" ref="E124:E127" si="78">D124</f>
        <v>-8170</v>
      </c>
      <c r="F124" s="254">
        <f>F125</f>
        <v>-8140.15</v>
      </c>
      <c r="G124" s="254">
        <f t="shared" ref="G124:G127" si="79">F124-E124</f>
        <v>29.850000000000364</v>
      </c>
      <c r="J124" s="1"/>
    </row>
    <row r="125" spans="1:10" s="282" customFormat="1" x14ac:dyDescent="0.35">
      <c r="A125" s="279"/>
      <c r="B125" s="279"/>
      <c r="C125" s="279" t="s">
        <v>1052</v>
      </c>
      <c r="D125" s="280">
        <v>-8170</v>
      </c>
      <c r="E125" s="280">
        <f t="shared" si="78"/>
        <v>-8170</v>
      </c>
      <c r="F125" s="280">
        <v>-8140.15</v>
      </c>
      <c r="G125" s="280">
        <f t="shared" si="79"/>
        <v>29.850000000000364</v>
      </c>
      <c r="H125" s="281"/>
      <c r="I125" s="281"/>
      <c r="J125" s="1"/>
    </row>
    <row r="126" spans="1:10" x14ac:dyDescent="0.35">
      <c r="A126" s="273"/>
      <c r="B126" s="273"/>
      <c r="C126" s="273" t="s">
        <v>1034</v>
      </c>
      <c r="D126" s="254">
        <f>D127</f>
        <v>-155223</v>
      </c>
      <c r="E126" s="254">
        <f t="shared" si="78"/>
        <v>-155223</v>
      </c>
      <c r="F126" s="254">
        <f>F127</f>
        <v>-155222.68</v>
      </c>
      <c r="G126" s="254">
        <f t="shared" si="79"/>
        <v>0.32000000000698492</v>
      </c>
      <c r="J126" s="1"/>
    </row>
    <row r="127" spans="1:10" s="282" customFormat="1" x14ac:dyDescent="0.35">
      <c r="A127" s="279"/>
      <c r="B127" s="279"/>
      <c r="C127" s="279" t="s">
        <v>1052</v>
      </c>
      <c r="D127" s="280">
        <v>-155223</v>
      </c>
      <c r="E127" s="280">
        <f t="shared" si="78"/>
        <v>-155223</v>
      </c>
      <c r="F127" s="280">
        <v>-155222.68</v>
      </c>
      <c r="G127" s="280">
        <f t="shared" si="79"/>
        <v>0.32000000000698492</v>
      </c>
      <c r="H127" s="281"/>
      <c r="I127" s="281"/>
      <c r="J127" s="1"/>
    </row>
    <row r="128" spans="1:10" x14ac:dyDescent="0.35">
      <c r="A128" s="274"/>
      <c r="B128" s="274"/>
      <c r="C128" s="274" t="s">
        <v>1045</v>
      </c>
      <c r="D128" s="255">
        <f>SUM(D129:D129)</f>
        <v>-4040900</v>
      </c>
      <c r="E128" s="255">
        <f>SUM(E129:E129)</f>
        <v>-4040900</v>
      </c>
      <c r="F128" s="255">
        <f>SUM(F129:F129)</f>
        <v>-3951036.8</v>
      </c>
      <c r="G128" s="255">
        <f>F128-E128</f>
        <v>89863.200000000186</v>
      </c>
      <c r="J128" s="1"/>
    </row>
    <row r="129" spans="1:10" x14ac:dyDescent="0.35">
      <c r="A129" s="273"/>
      <c r="B129" s="273"/>
      <c r="C129" s="273" t="s">
        <v>742</v>
      </c>
      <c r="D129" s="254">
        <f>-2611700-1429200</f>
        <v>-4040900</v>
      </c>
      <c r="E129" s="254">
        <f t="shared" ref="E129" si="80">D129</f>
        <v>-4040900</v>
      </c>
      <c r="F129" s="254">
        <v>-3951036.8</v>
      </c>
      <c r="G129" s="254">
        <f t="shared" ref="G129:G134" si="81">F129-E129</f>
        <v>89863.200000000186</v>
      </c>
      <c r="H129" s="248" t="s">
        <v>1170</v>
      </c>
      <c r="J129" s="1"/>
    </row>
    <row r="130" spans="1:10" s="64" customFormat="1" ht="15" x14ac:dyDescent="0.35">
      <c r="A130" s="283" t="s">
        <v>1055</v>
      </c>
      <c r="B130" s="274"/>
      <c r="C130" s="274"/>
      <c r="D130" s="255">
        <f>SUM(D131:D134)</f>
        <v>-18824117</v>
      </c>
      <c r="E130" s="255">
        <f t="shared" ref="E130" si="82">SUM(E131:E134)</f>
        <v>-19343231.640000001</v>
      </c>
      <c r="F130" s="255">
        <f t="shared" ref="F130" si="83">SUM(F131:F134)</f>
        <v>-18776708.280000001</v>
      </c>
      <c r="G130" s="255">
        <f t="shared" si="81"/>
        <v>566523.3599999994</v>
      </c>
      <c r="H130" s="248"/>
      <c r="I130" s="248"/>
      <c r="J130" s="1"/>
    </row>
    <row r="131" spans="1:10" x14ac:dyDescent="0.35">
      <c r="A131" s="273"/>
      <c r="B131" s="273" t="s">
        <v>1037</v>
      </c>
      <c r="C131" s="273"/>
      <c r="D131" s="254">
        <f>D140</f>
        <v>-13939206</v>
      </c>
      <c r="E131" s="254">
        <f t="shared" ref="E131" si="84">E140</f>
        <v>-14454957</v>
      </c>
      <c r="F131" s="254">
        <f>F140</f>
        <v>-13982814</v>
      </c>
      <c r="G131" s="254">
        <f t="shared" si="81"/>
        <v>472143</v>
      </c>
      <c r="J131" s="1"/>
    </row>
    <row r="132" spans="1:10" x14ac:dyDescent="0.35">
      <c r="A132" s="273"/>
      <c r="B132" s="273" t="s">
        <v>1038</v>
      </c>
      <c r="C132" s="273"/>
      <c r="D132" s="254">
        <f>D142</f>
        <v>-843011</v>
      </c>
      <c r="E132" s="254">
        <f t="shared" ref="E132:F132" si="85">E142</f>
        <v>-843011</v>
      </c>
      <c r="F132" s="254">
        <f t="shared" si="85"/>
        <v>-842857.48</v>
      </c>
      <c r="G132" s="254">
        <f t="shared" si="81"/>
        <v>153.52000000001863</v>
      </c>
      <c r="J132" s="1"/>
    </row>
    <row r="133" spans="1:10" x14ac:dyDescent="0.35">
      <c r="A133" s="273"/>
      <c r="B133" s="273" t="s">
        <v>1040</v>
      </c>
      <c r="C133" s="273"/>
      <c r="D133" s="254">
        <f>D147</f>
        <v>-1000</v>
      </c>
      <c r="E133" s="254">
        <f t="shared" ref="E133:F133" si="86">E147</f>
        <v>-4363.6400000000003</v>
      </c>
      <c r="F133" s="254">
        <f t="shared" si="86"/>
        <v>0</v>
      </c>
      <c r="G133" s="254">
        <f t="shared" si="81"/>
        <v>4363.6400000000003</v>
      </c>
      <c r="J133" s="1"/>
    </row>
    <row r="134" spans="1:10" x14ac:dyDescent="0.35">
      <c r="A134" s="273"/>
      <c r="B134" s="273" t="s">
        <v>1045</v>
      </c>
      <c r="C134" s="273"/>
      <c r="D134" s="254">
        <f>D150</f>
        <v>-4040900</v>
      </c>
      <c r="E134" s="254">
        <f t="shared" ref="E134:F134" si="87">E150</f>
        <v>-4040900</v>
      </c>
      <c r="F134" s="254">
        <f t="shared" si="87"/>
        <v>-3951036.8</v>
      </c>
      <c r="G134" s="254">
        <f t="shared" si="81"/>
        <v>89863.200000000186</v>
      </c>
      <c r="J134" s="1"/>
    </row>
    <row r="135" spans="1:10" x14ac:dyDescent="0.35">
      <c r="A135" s="274"/>
      <c r="B135" s="274" t="s">
        <v>88</v>
      </c>
      <c r="C135" s="274"/>
      <c r="D135" s="255">
        <f>SUM(D136:D139)</f>
        <v>-18824117</v>
      </c>
      <c r="E135" s="255">
        <f t="shared" ref="E135:G135" si="88">SUM(E136:E139)</f>
        <v>-19343231.640000001</v>
      </c>
      <c r="F135" s="255">
        <f t="shared" si="88"/>
        <v>-18776708.280000001</v>
      </c>
      <c r="G135" s="255">
        <f t="shared" si="88"/>
        <v>566523.36000000057</v>
      </c>
      <c r="J135" s="1"/>
    </row>
    <row r="136" spans="1:10" x14ac:dyDescent="0.35">
      <c r="A136" s="274"/>
      <c r="B136" s="274"/>
      <c r="C136" s="273" t="s">
        <v>1194</v>
      </c>
      <c r="D136" s="254">
        <v>0</v>
      </c>
      <c r="E136" s="254">
        <f>E148</f>
        <v>-4363.6400000000003</v>
      </c>
      <c r="F136" s="254">
        <v>0</v>
      </c>
      <c r="G136" s="254">
        <f t="shared" ref="G136" si="89">F136-E136</f>
        <v>4363.6400000000003</v>
      </c>
      <c r="J136" s="1"/>
    </row>
    <row r="137" spans="1:10" x14ac:dyDescent="0.35">
      <c r="A137" s="273"/>
      <c r="B137" s="273"/>
      <c r="C137" s="273" t="s">
        <v>1033</v>
      </c>
      <c r="D137" s="254">
        <f>D143+D149</f>
        <v>-43151</v>
      </c>
      <c r="E137" s="254">
        <f t="shared" ref="E137:F137" si="90">E143+E149</f>
        <v>-42151</v>
      </c>
      <c r="F137" s="254">
        <f t="shared" si="90"/>
        <v>-41998.46</v>
      </c>
      <c r="G137" s="254">
        <f t="shared" ref="G137:G139" si="91">F137-E137</f>
        <v>152.54000000000087</v>
      </c>
      <c r="J137" s="1"/>
    </row>
    <row r="138" spans="1:10" x14ac:dyDescent="0.35">
      <c r="A138" s="273"/>
      <c r="B138" s="273"/>
      <c r="C138" s="273" t="s">
        <v>1034</v>
      </c>
      <c r="D138" s="254">
        <f>D145+D141</f>
        <v>-14740066</v>
      </c>
      <c r="E138" s="254">
        <f t="shared" ref="E138:F138" si="92">E145+E141</f>
        <v>-15255817</v>
      </c>
      <c r="F138" s="254">
        <f t="shared" si="92"/>
        <v>-14783673.02</v>
      </c>
      <c r="G138" s="254">
        <f t="shared" si="91"/>
        <v>472143.98000000045</v>
      </c>
      <c r="J138" s="1"/>
    </row>
    <row r="139" spans="1:10" x14ac:dyDescent="0.35">
      <c r="A139" s="273"/>
      <c r="B139" s="273"/>
      <c r="C139" s="273" t="s">
        <v>1035</v>
      </c>
      <c r="D139" s="254">
        <f>D151</f>
        <v>-4040900</v>
      </c>
      <c r="E139" s="254">
        <f t="shared" ref="E139:F139" si="93">E151</f>
        <v>-4040900</v>
      </c>
      <c r="F139" s="254">
        <f t="shared" si="93"/>
        <v>-3951036.8</v>
      </c>
      <c r="G139" s="254">
        <f t="shared" si="91"/>
        <v>89863.200000000186</v>
      </c>
      <c r="J139" s="1"/>
    </row>
    <row r="140" spans="1:10" x14ac:dyDescent="0.35">
      <c r="A140" s="274"/>
      <c r="B140" s="274"/>
      <c r="C140" s="274" t="s">
        <v>1037</v>
      </c>
      <c r="D140" s="255">
        <f>SUM(D141:D141)</f>
        <v>-13939206</v>
      </c>
      <c r="E140" s="255">
        <f>SUM(E141:E141)</f>
        <v>-14454957</v>
      </c>
      <c r="F140" s="255">
        <f>SUM(F141:F141)</f>
        <v>-13982814</v>
      </c>
      <c r="G140" s="255">
        <f>F140-E140</f>
        <v>472143</v>
      </c>
      <c r="J140" s="1"/>
    </row>
    <row r="141" spans="1:10" x14ac:dyDescent="0.35">
      <c r="A141" s="273"/>
      <c r="B141" s="273"/>
      <c r="C141" s="273" t="s">
        <v>1034</v>
      </c>
      <c r="D141" s="254">
        <v>-13939206</v>
      </c>
      <c r="E141" s="254">
        <f>D141-515751</f>
        <v>-14454957</v>
      </c>
      <c r="F141" s="254">
        <v>-13982814</v>
      </c>
      <c r="G141" s="254">
        <f t="shared" ref="G141" si="94">F141-E141</f>
        <v>472143</v>
      </c>
      <c r="I141" s="248">
        <f>D141-E141</f>
        <v>515751</v>
      </c>
      <c r="J141" s="1"/>
    </row>
    <row r="142" spans="1:10" s="64" customFormat="1" x14ac:dyDescent="0.35">
      <c r="A142" s="274"/>
      <c r="B142" s="274"/>
      <c r="C142" s="274" t="s">
        <v>1038</v>
      </c>
      <c r="D142" s="255">
        <f>D143+D145</f>
        <v>-843011</v>
      </c>
      <c r="E142" s="255">
        <f t="shared" ref="E142:F142" si="95">E143+E145</f>
        <v>-843011</v>
      </c>
      <c r="F142" s="255">
        <f t="shared" si="95"/>
        <v>-842857.48</v>
      </c>
      <c r="G142" s="255">
        <f>F142-E142</f>
        <v>153.52000000001863</v>
      </c>
      <c r="H142" s="248"/>
      <c r="I142" s="248"/>
      <c r="J142" s="1"/>
    </row>
    <row r="143" spans="1:10" x14ac:dyDescent="0.35">
      <c r="A143" s="273"/>
      <c r="B143" s="273"/>
      <c r="C143" s="273" t="s">
        <v>1033</v>
      </c>
      <c r="D143" s="254">
        <f>D144</f>
        <v>-42151</v>
      </c>
      <c r="E143" s="254">
        <f t="shared" ref="E143:E146" si="96">D143</f>
        <v>-42151</v>
      </c>
      <c r="F143" s="254">
        <f>F144</f>
        <v>-41998.46</v>
      </c>
      <c r="G143" s="254">
        <f t="shared" ref="G143:G146" si="97">F143-E143</f>
        <v>152.54000000000087</v>
      </c>
      <c r="J143" s="1"/>
    </row>
    <row r="144" spans="1:10" s="282" customFormat="1" ht="15.75" customHeight="1" x14ac:dyDescent="0.35">
      <c r="A144" s="279"/>
      <c r="B144" s="279"/>
      <c r="C144" s="279" t="s">
        <v>1052</v>
      </c>
      <c r="D144" s="280">
        <v>-42151</v>
      </c>
      <c r="E144" s="280">
        <f t="shared" si="96"/>
        <v>-42151</v>
      </c>
      <c r="F144" s="280">
        <v>-41998.46</v>
      </c>
      <c r="G144" s="280">
        <f t="shared" si="97"/>
        <v>152.54000000000087</v>
      </c>
      <c r="H144" s="281"/>
      <c r="I144" s="281"/>
      <c r="J144" s="1"/>
    </row>
    <row r="145" spans="1:10" x14ac:dyDescent="0.35">
      <c r="A145" s="273"/>
      <c r="B145" s="273"/>
      <c r="C145" s="273" t="s">
        <v>1034</v>
      </c>
      <c r="D145" s="254">
        <f>D146</f>
        <v>-800860</v>
      </c>
      <c r="E145" s="254">
        <f t="shared" si="96"/>
        <v>-800860</v>
      </c>
      <c r="F145" s="254">
        <f>F146</f>
        <v>-800859.02</v>
      </c>
      <c r="G145" s="254">
        <f t="shared" si="97"/>
        <v>0.97999999998137355</v>
      </c>
      <c r="J145" s="1"/>
    </row>
    <row r="146" spans="1:10" s="282" customFormat="1" x14ac:dyDescent="0.35">
      <c r="A146" s="279"/>
      <c r="B146" s="279"/>
      <c r="C146" s="279" t="s">
        <v>1052</v>
      </c>
      <c r="D146" s="280">
        <v>-800860</v>
      </c>
      <c r="E146" s="280">
        <f t="shared" si="96"/>
        <v>-800860</v>
      </c>
      <c r="F146" s="280">
        <v>-800859.02</v>
      </c>
      <c r="G146" s="280">
        <f t="shared" si="97"/>
        <v>0.97999999998137355</v>
      </c>
      <c r="H146" s="281"/>
      <c r="I146" s="281"/>
      <c r="J146" s="1"/>
    </row>
    <row r="147" spans="1:10" s="64" customFormat="1" x14ac:dyDescent="0.35">
      <c r="A147" s="274"/>
      <c r="B147" s="274"/>
      <c r="C147" s="274" t="s">
        <v>1040</v>
      </c>
      <c r="D147" s="255">
        <f>SUM(D148:D149)</f>
        <v>-1000</v>
      </c>
      <c r="E147" s="255">
        <f t="shared" ref="E147:G147" si="98">SUM(E148:E149)</f>
        <v>-4363.6400000000003</v>
      </c>
      <c r="F147" s="255">
        <f t="shared" si="98"/>
        <v>0</v>
      </c>
      <c r="G147" s="255">
        <f t="shared" si="98"/>
        <v>4363.6400000000003</v>
      </c>
      <c r="H147" s="248"/>
      <c r="I147" s="248"/>
      <c r="J147" s="1"/>
    </row>
    <row r="148" spans="1:10" x14ac:dyDescent="0.35">
      <c r="A148" s="274"/>
      <c r="B148" s="274"/>
      <c r="C148" s="273" t="s">
        <v>1194</v>
      </c>
      <c r="D148" s="254">
        <v>0</v>
      </c>
      <c r="E148" s="254">
        <v>-4363.6400000000003</v>
      </c>
      <c r="F148" s="254">
        <v>0</v>
      </c>
      <c r="G148" s="254">
        <f t="shared" ref="G148" si="99">F148-E148</f>
        <v>4363.6400000000003</v>
      </c>
      <c r="J148" s="1"/>
    </row>
    <row r="149" spans="1:10" x14ac:dyDescent="0.35">
      <c r="A149" s="273"/>
      <c r="B149" s="273"/>
      <c r="C149" s="273" t="s">
        <v>1033</v>
      </c>
      <c r="D149" s="254">
        <v>-1000</v>
      </c>
      <c r="E149" s="254">
        <v>0</v>
      </c>
      <c r="F149" s="254">
        <v>0</v>
      </c>
      <c r="G149" s="254">
        <f t="shared" ref="G149" si="100">F149-E149</f>
        <v>0</v>
      </c>
      <c r="I149" s="248">
        <f>D149-E149</f>
        <v>-1000</v>
      </c>
      <c r="J149" s="1"/>
    </row>
    <row r="150" spans="1:10" x14ac:dyDescent="0.35">
      <c r="A150" s="274"/>
      <c r="B150" s="274"/>
      <c r="C150" s="274" t="s">
        <v>1045</v>
      </c>
      <c r="D150" s="255">
        <f>SUM(D151:D151)</f>
        <v>-4040900</v>
      </c>
      <c r="E150" s="255">
        <f>SUM(E151:E151)</f>
        <v>-4040900</v>
      </c>
      <c r="F150" s="255">
        <f>SUM(F151:F151)</f>
        <v>-3951036.8</v>
      </c>
      <c r="G150" s="255">
        <f>F150-E150</f>
        <v>89863.200000000186</v>
      </c>
      <c r="J150" s="1"/>
    </row>
    <row r="151" spans="1:10" x14ac:dyDescent="0.35">
      <c r="A151" s="273"/>
      <c r="B151" s="273"/>
      <c r="C151" s="273" t="s">
        <v>742</v>
      </c>
      <c r="D151" s="254">
        <f>-2611700-1429200</f>
        <v>-4040900</v>
      </c>
      <c r="E151" s="254">
        <f t="shared" ref="E151" si="101">D151</f>
        <v>-4040900</v>
      </c>
      <c r="F151" s="254">
        <v>-3951036.8</v>
      </c>
      <c r="G151" s="254">
        <f t="shared" ref="G151:G156" si="102">F151-E151</f>
        <v>89863.200000000186</v>
      </c>
      <c r="H151" s="248" t="s">
        <v>1170</v>
      </c>
      <c r="J151" s="1"/>
    </row>
    <row r="152" spans="1:10" s="64" customFormat="1" ht="15" x14ac:dyDescent="0.35">
      <c r="A152" s="283" t="s">
        <v>1056</v>
      </c>
      <c r="B152" s="274"/>
      <c r="C152" s="274"/>
      <c r="D152" s="255">
        <f>SUM(D153:D156)</f>
        <v>-11341711</v>
      </c>
      <c r="E152" s="255">
        <f>SUM(E153:E156)</f>
        <v>-11377320.260000002</v>
      </c>
      <c r="F152" s="255">
        <f>SUM(F153:F156)</f>
        <v>-8273147.2999999998</v>
      </c>
      <c r="G152" s="255">
        <f t="shared" si="102"/>
        <v>3104172.9600000018</v>
      </c>
      <c r="H152" s="248"/>
      <c r="I152" s="248"/>
      <c r="J152" s="1"/>
    </row>
    <row r="153" spans="1:10" x14ac:dyDescent="0.35">
      <c r="A153" s="273"/>
      <c r="B153" s="273" t="s">
        <v>1037</v>
      </c>
      <c r="C153" s="273"/>
      <c r="D153" s="254">
        <f>D163</f>
        <v>-7096640</v>
      </c>
      <c r="E153" s="254">
        <f t="shared" ref="E153" si="103">E163</f>
        <v>-7103704.6400000006</v>
      </c>
      <c r="F153" s="254">
        <f>F163</f>
        <v>-4109063.64</v>
      </c>
      <c r="G153" s="254">
        <f t="shared" si="102"/>
        <v>2994641.0000000005</v>
      </c>
      <c r="J153" s="1"/>
    </row>
    <row r="154" spans="1:10" x14ac:dyDescent="0.35">
      <c r="A154" s="273"/>
      <c r="B154" s="273" t="s">
        <v>1038</v>
      </c>
      <c r="C154" s="273"/>
      <c r="D154" s="254">
        <f>D166</f>
        <v>-390721</v>
      </c>
      <c r="E154" s="254">
        <f t="shared" ref="E154:F154" si="104">E166</f>
        <v>-390721</v>
      </c>
      <c r="F154" s="254">
        <f t="shared" si="104"/>
        <v>-390650.41000000003</v>
      </c>
      <c r="G154" s="254">
        <f t="shared" si="102"/>
        <v>70.589999999967404</v>
      </c>
      <c r="J154" s="1"/>
    </row>
    <row r="155" spans="1:10" x14ac:dyDescent="0.35">
      <c r="A155" s="273"/>
      <c r="B155" s="273" t="s">
        <v>1040</v>
      </c>
      <c r="C155" s="273"/>
      <c r="D155" s="254">
        <v>0</v>
      </c>
      <c r="E155" s="254">
        <f>E171</f>
        <v>-28544.62</v>
      </c>
      <c r="F155" s="254">
        <v>0</v>
      </c>
      <c r="G155" s="254">
        <f t="shared" si="102"/>
        <v>28544.62</v>
      </c>
      <c r="J155" s="1"/>
    </row>
    <row r="156" spans="1:10" x14ac:dyDescent="0.35">
      <c r="A156" s="273"/>
      <c r="B156" s="273" t="s">
        <v>1045</v>
      </c>
      <c r="C156" s="273"/>
      <c r="D156" s="254">
        <f>D173</f>
        <v>-3854350</v>
      </c>
      <c r="E156" s="254">
        <f t="shared" ref="E156:F156" si="105">E173</f>
        <v>-3854350</v>
      </c>
      <c r="F156" s="254">
        <f t="shared" si="105"/>
        <v>-3773433.25</v>
      </c>
      <c r="G156" s="254">
        <f t="shared" si="102"/>
        <v>80916.75</v>
      </c>
      <c r="J156" s="1"/>
    </row>
    <row r="157" spans="1:10" x14ac:dyDescent="0.35">
      <c r="A157" s="274"/>
      <c r="B157" s="274" t="s">
        <v>88</v>
      </c>
      <c r="C157" s="274"/>
      <c r="D157" s="255">
        <f>SUM(D158:D162)</f>
        <v>-11341711</v>
      </c>
      <c r="E157" s="255">
        <f t="shared" ref="E157:G157" si="106">SUM(E158:E162)</f>
        <v>-11377320.26</v>
      </c>
      <c r="F157" s="255">
        <f t="shared" si="106"/>
        <v>-8273147.2999999998</v>
      </c>
      <c r="G157" s="255">
        <f t="shared" si="106"/>
        <v>3104172.96</v>
      </c>
      <c r="J157" s="1"/>
    </row>
    <row r="158" spans="1:10" x14ac:dyDescent="0.35">
      <c r="A158" s="274"/>
      <c r="B158" s="274"/>
      <c r="C158" s="273" t="s">
        <v>1194</v>
      </c>
      <c r="D158" s="254">
        <f>D172</f>
        <v>0</v>
      </c>
      <c r="E158" s="254">
        <f t="shared" ref="E158:F158" si="107">E172</f>
        <v>-28544.62</v>
      </c>
      <c r="F158" s="254">
        <f t="shared" si="107"/>
        <v>0</v>
      </c>
      <c r="G158" s="254">
        <f t="shared" ref="G158:G162" si="108">F158-E158</f>
        <v>28544.62</v>
      </c>
      <c r="J158" s="1"/>
    </row>
    <row r="159" spans="1:10" x14ac:dyDescent="0.35">
      <c r="A159" s="273"/>
      <c r="B159" s="273"/>
      <c r="C159" s="273" t="s">
        <v>1033</v>
      </c>
      <c r="D159" s="254">
        <f>D167</f>
        <v>-19536</v>
      </c>
      <c r="E159" s="254">
        <f t="shared" ref="E159:F159" si="109">E167</f>
        <v>-19536</v>
      </c>
      <c r="F159" s="254">
        <f t="shared" si="109"/>
        <v>-19465.410000000003</v>
      </c>
      <c r="G159" s="254">
        <f t="shared" si="108"/>
        <v>70.589999999996508</v>
      </c>
      <c r="J159" s="1"/>
    </row>
    <row r="160" spans="1:10" x14ac:dyDescent="0.35">
      <c r="A160" s="273"/>
      <c r="B160" s="273"/>
      <c r="C160" s="273" t="s">
        <v>1043</v>
      </c>
      <c r="D160" s="254">
        <f>D164</f>
        <v>-5000000</v>
      </c>
      <c r="E160" s="254">
        <f t="shared" ref="E160:F160" si="110">E164</f>
        <v>-5000000</v>
      </c>
      <c r="F160" s="254">
        <f t="shared" si="110"/>
        <v>-2005359</v>
      </c>
      <c r="G160" s="254">
        <f t="shared" si="108"/>
        <v>2994641</v>
      </c>
      <c r="J160" s="1"/>
    </row>
    <row r="161" spans="1:10" x14ac:dyDescent="0.35">
      <c r="A161" s="273"/>
      <c r="B161" s="273"/>
      <c r="C161" s="273" t="s">
        <v>1034</v>
      </c>
      <c r="D161" s="254">
        <f>D169+D165</f>
        <v>-2467825</v>
      </c>
      <c r="E161" s="254">
        <f>E169+E165</f>
        <v>-2474889.64</v>
      </c>
      <c r="F161" s="254">
        <f t="shared" ref="F161:G161" si="111">F169+F165</f>
        <v>-2474889.64</v>
      </c>
      <c r="G161" s="254">
        <f t="shared" si="111"/>
        <v>0</v>
      </c>
      <c r="J161" s="1"/>
    </row>
    <row r="162" spans="1:10" x14ac:dyDescent="0.35">
      <c r="A162" s="273"/>
      <c r="B162" s="273"/>
      <c r="C162" s="273" t="s">
        <v>1035</v>
      </c>
      <c r="D162" s="254">
        <f>D174</f>
        <v>-3854350</v>
      </c>
      <c r="E162" s="254">
        <f t="shared" ref="E162:F162" si="112">E174</f>
        <v>-3854350</v>
      </c>
      <c r="F162" s="254">
        <f t="shared" si="112"/>
        <v>-3773433.25</v>
      </c>
      <c r="G162" s="254">
        <f t="shared" si="108"/>
        <v>80916.75</v>
      </c>
      <c r="J162" s="1"/>
    </row>
    <row r="163" spans="1:10" x14ac:dyDescent="0.35">
      <c r="A163" s="274"/>
      <c r="B163" s="274"/>
      <c r="C163" s="274" t="s">
        <v>1037</v>
      </c>
      <c r="D163" s="255">
        <f>SUM(D164:D165)</f>
        <v>-7096640</v>
      </c>
      <c r="E163" s="255">
        <f t="shared" ref="E163:F163" si="113">SUM(E164:E165)</f>
        <v>-7103704.6400000006</v>
      </c>
      <c r="F163" s="255">
        <f t="shared" si="113"/>
        <v>-4109063.64</v>
      </c>
      <c r="G163" s="255">
        <f>F163-E163</f>
        <v>2994641.0000000005</v>
      </c>
      <c r="J163" s="1"/>
    </row>
    <row r="164" spans="1:10" x14ac:dyDescent="0.35">
      <c r="A164" s="273"/>
      <c r="B164" s="273"/>
      <c r="C164" s="273" t="s">
        <v>1043</v>
      </c>
      <c r="D164" s="254">
        <v>-5000000</v>
      </c>
      <c r="E164" s="254">
        <f t="shared" ref="E164" si="114">D164</f>
        <v>-5000000</v>
      </c>
      <c r="F164" s="254">
        <v>-2005359</v>
      </c>
      <c r="G164" s="254">
        <f t="shared" ref="G164:G165" si="115">F164-E164</f>
        <v>2994641</v>
      </c>
      <c r="H164" s="248" t="s">
        <v>1057</v>
      </c>
      <c r="J164" s="1"/>
    </row>
    <row r="165" spans="1:10" x14ac:dyDescent="0.35">
      <c r="A165" s="273"/>
      <c r="B165" s="273"/>
      <c r="C165" s="273" t="s">
        <v>1034</v>
      </c>
      <c r="D165" s="254">
        <f>-7096640+5000000</f>
        <v>-2096640</v>
      </c>
      <c r="E165" s="254">
        <f>D165-7064.64</f>
        <v>-2103704.64</v>
      </c>
      <c r="F165" s="254">
        <v>-2103704.64</v>
      </c>
      <c r="G165" s="254">
        <f t="shared" si="115"/>
        <v>0</v>
      </c>
      <c r="I165" s="248">
        <f>D165-E165</f>
        <v>7064.6400000001304</v>
      </c>
      <c r="J165" s="1"/>
    </row>
    <row r="166" spans="1:10" s="64" customFormat="1" x14ac:dyDescent="0.35">
      <c r="A166" s="274"/>
      <c r="B166" s="274"/>
      <c r="C166" s="274" t="s">
        <v>1038</v>
      </c>
      <c r="D166" s="255">
        <f>D167+D169</f>
        <v>-390721</v>
      </c>
      <c r="E166" s="255">
        <f t="shared" ref="E166:F166" si="116">E167+E169</f>
        <v>-390721</v>
      </c>
      <c r="F166" s="255">
        <f t="shared" si="116"/>
        <v>-390650.41000000003</v>
      </c>
      <c r="G166" s="255">
        <f>F166-E166</f>
        <v>70.589999999967404</v>
      </c>
      <c r="H166" s="248"/>
      <c r="I166" s="248"/>
      <c r="J166" s="1"/>
    </row>
    <row r="167" spans="1:10" x14ac:dyDescent="0.35">
      <c r="A167" s="273"/>
      <c r="B167" s="273"/>
      <c r="C167" s="273" t="s">
        <v>1033</v>
      </c>
      <c r="D167" s="254">
        <f>D168</f>
        <v>-19536</v>
      </c>
      <c r="E167" s="254">
        <f t="shared" ref="E167:E170" si="117">D167</f>
        <v>-19536</v>
      </c>
      <c r="F167" s="254">
        <f>F168</f>
        <v>-19465.410000000003</v>
      </c>
      <c r="G167" s="254">
        <f t="shared" ref="G167:G170" si="118">F167-E167</f>
        <v>70.589999999996508</v>
      </c>
      <c r="J167" s="1"/>
    </row>
    <row r="168" spans="1:10" s="282" customFormat="1" x14ac:dyDescent="0.35">
      <c r="A168" s="279"/>
      <c r="B168" s="279"/>
      <c r="C168" s="279" t="s">
        <v>1052</v>
      </c>
      <c r="D168" s="280">
        <v>-19536</v>
      </c>
      <c r="E168" s="280">
        <f t="shared" si="117"/>
        <v>-19536</v>
      </c>
      <c r="F168" s="280">
        <f>-19465.58+0.17</f>
        <v>-19465.410000000003</v>
      </c>
      <c r="G168" s="280">
        <f t="shared" si="118"/>
        <v>70.589999999996508</v>
      </c>
      <c r="H168" s="281"/>
      <c r="I168" s="281"/>
      <c r="J168" s="1"/>
    </row>
    <row r="169" spans="1:10" x14ac:dyDescent="0.35">
      <c r="A169" s="273"/>
      <c r="B169" s="273"/>
      <c r="C169" s="273" t="s">
        <v>1034</v>
      </c>
      <c r="D169" s="254">
        <f>D170</f>
        <v>-371185</v>
      </c>
      <c r="E169" s="254">
        <f t="shared" si="117"/>
        <v>-371185</v>
      </c>
      <c r="F169" s="254">
        <f>F170</f>
        <v>-371185</v>
      </c>
      <c r="G169" s="254">
        <f t="shared" si="118"/>
        <v>0</v>
      </c>
      <c r="J169" s="1"/>
    </row>
    <row r="170" spans="1:10" s="282" customFormat="1" x14ac:dyDescent="0.35">
      <c r="A170" s="279"/>
      <c r="B170" s="279"/>
      <c r="C170" s="279" t="s">
        <v>1052</v>
      </c>
      <c r="D170" s="280">
        <v>-371185</v>
      </c>
      <c r="E170" s="280">
        <f t="shared" si="117"/>
        <v>-371185</v>
      </c>
      <c r="F170" s="280">
        <v>-371185</v>
      </c>
      <c r="G170" s="280">
        <f t="shared" si="118"/>
        <v>0</v>
      </c>
      <c r="H170" s="281"/>
      <c r="I170" s="281"/>
      <c r="J170" s="1"/>
    </row>
    <row r="171" spans="1:10" s="64" customFormat="1" x14ac:dyDescent="0.35">
      <c r="A171" s="274"/>
      <c r="B171" s="274"/>
      <c r="C171" s="274" t="s">
        <v>1040</v>
      </c>
      <c r="D171" s="255">
        <f>D172</f>
        <v>0</v>
      </c>
      <c r="E171" s="255">
        <f t="shared" ref="E171:G171" si="119">E172</f>
        <v>-28544.62</v>
      </c>
      <c r="F171" s="255">
        <f t="shared" si="119"/>
        <v>0</v>
      </c>
      <c r="G171" s="255">
        <f t="shared" si="119"/>
        <v>28544.62</v>
      </c>
      <c r="H171" s="248"/>
      <c r="I171" s="248">
        <f>D171-E171</f>
        <v>28544.62</v>
      </c>
      <c r="J171" s="1"/>
    </row>
    <row r="172" spans="1:10" x14ac:dyDescent="0.35">
      <c r="A172" s="273"/>
      <c r="B172" s="273"/>
      <c r="C172" s="273" t="s">
        <v>1194</v>
      </c>
      <c r="D172" s="254">
        <v>0</v>
      </c>
      <c r="E172" s="254">
        <v>-28544.62</v>
      </c>
      <c r="F172" s="254">
        <v>0</v>
      </c>
      <c r="G172" s="254">
        <f t="shared" ref="G172" si="120">F172-E172</f>
        <v>28544.62</v>
      </c>
      <c r="H172" s="248" t="s">
        <v>1171</v>
      </c>
      <c r="J172" s="1"/>
    </row>
    <row r="173" spans="1:10" x14ac:dyDescent="0.35">
      <c r="A173" s="274"/>
      <c r="B173" s="274"/>
      <c r="C173" s="274" t="s">
        <v>1045</v>
      </c>
      <c r="D173" s="255">
        <f>SUM(D174:D174)</f>
        <v>-3854350</v>
      </c>
      <c r="E173" s="255">
        <f>SUM(E174:E174)</f>
        <v>-3854350</v>
      </c>
      <c r="F173" s="255">
        <f>SUM(F174:F174)</f>
        <v>-3773433.25</v>
      </c>
      <c r="G173" s="255">
        <f>F173-E173</f>
        <v>80916.75</v>
      </c>
      <c r="J173" s="1"/>
    </row>
    <row r="174" spans="1:10" x14ac:dyDescent="0.35">
      <c r="A174" s="273"/>
      <c r="B174" s="273"/>
      <c r="C174" s="273" t="s">
        <v>742</v>
      </c>
      <c r="D174" s="254">
        <f>-2425150-1429200</f>
        <v>-3854350</v>
      </c>
      <c r="E174" s="254">
        <f t="shared" ref="E174" si="121">D174</f>
        <v>-3854350</v>
      </c>
      <c r="F174" s="254">
        <v>-3773433.25</v>
      </c>
      <c r="G174" s="254">
        <f t="shared" ref="G174:G179" si="122">F174-E174</f>
        <v>80916.75</v>
      </c>
      <c r="J174" s="1"/>
    </row>
    <row r="175" spans="1:10" s="64" customFormat="1" ht="15" x14ac:dyDescent="0.35">
      <c r="A175" s="283" t="s">
        <v>1058</v>
      </c>
      <c r="B175" s="274"/>
      <c r="C175" s="274"/>
      <c r="D175" s="255">
        <f>SUM(D176:D179)</f>
        <v>-3124937</v>
      </c>
      <c r="E175" s="255">
        <f>SUM(E176:E179)</f>
        <v>-3127769</v>
      </c>
      <c r="F175" s="255">
        <f>SUM(F176:F179)</f>
        <v>-3009560.55</v>
      </c>
      <c r="G175" s="255">
        <f t="shared" si="122"/>
        <v>118208.45000000019</v>
      </c>
      <c r="H175" s="248"/>
      <c r="I175" s="248"/>
      <c r="J175" s="1"/>
    </row>
    <row r="176" spans="1:10" x14ac:dyDescent="0.35">
      <c r="A176" s="273"/>
      <c r="B176" s="273" t="s">
        <v>1037</v>
      </c>
      <c r="C176" s="273"/>
      <c r="D176" s="254">
        <f>D187</f>
        <v>-391400</v>
      </c>
      <c r="E176" s="254">
        <f t="shared" ref="E176" si="123">E187</f>
        <v>-386132</v>
      </c>
      <c r="F176" s="254">
        <f>F187</f>
        <v>-326432.55</v>
      </c>
      <c r="G176" s="254">
        <f t="shared" si="122"/>
        <v>59699.450000000012</v>
      </c>
      <c r="J176" s="1"/>
    </row>
    <row r="177" spans="1:10" x14ac:dyDescent="0.35">
      <c r="A177" s="273"/>
      <c r="B177" s="273" t="s">
        <v>1038</v>
      </c>
      <c r="C177" s="273"/>
      <c r="D177" s="254">
        <f>D191</f>
        <v>-383617</v>
      </c>
      <c r="E177" s="254">
        <f t="shared" ref="E177:F177" si="124">E191</f>
        <v>-383617</v>
      </c>
      <c r="F177" s="254">
        <f t="shared" si="124"/>
        <v>-383547.33999999997</v>
      </c>
      <c r="G177" s="254">
        <f t="shared" si="122"/>
        <v>69.660000000032596</v>
      </c>
      <c r="J177" s="1"/>
    </row>
    <row r="178" spans="1:10" x14ac:dyDescent="0.35">
      <c r="A178" s="273"/>
      <c r="B178" s="273" t="s">
        <v>1040</v>
      </c>
      <c r="C178" s="273"/>
      <c r="D178" s="254">
        <v>0</v>
      </c>
      <c r="E178" s="254">
        <f>E196</f>
        <v>-8100</v>
      </c>
      <c r="F178" s="254">
        <f t="shared" ref="F178:G178" si="125">F196</f>
        <v>0</v>
      </c>
      <c r="G178" s="254">
        <f t="shared" si="125"/>
        <v>8100</v>
      </c>
      <c r="J178" s="1"/>
    </row>
    <row r="179" spans="1:10" x14ac:dyDescent="0.35">
      <c r="A179" s="273"/>
      <c r="B179" s="273" t="s">
        <v>1045</v>
      </c>
      <c r="C179" s="273"/>
      <c r="D179" s="254">
        <f>D198</f>
        <v>-2349920</v>
      </c>
      <c r="E179" s="254">
        <f t="shared" ref="E179:F179" si="126">E198</f>
        <v>-2349920</v>
      </c>
      <c r="F179" s="254">
        <f t="shared" si="126"/>
        <v>-2299580.66</v>
      </c>
      <c r="G179" s="254">
        <f t="shared" si="122"/>
        <v>50339.339999999851</v>
      </c>
      <c r="J179" s="1"/>
    </row>
    <row r="180" spans="1:10" x14ac:dyDescent="0.35">
      <c r="A180" s="274"/>
      <c r="B180" s="274" t="s">
        <v>88</v>
      </c>
      <c r="C180" s="274"/>
      <c r="D180" s="255">
        <f>SUM(D181:D186)</f>
        <v>-3124937</v>
      </c>
      <c r="E180" s="255">
        <f t="shared" ref="E180:F180" si="127">SUM(E181:E186)</f>
        <v>-3127769</v>
      </c>
      <c r="F180" s="255">
        <f t="shared" si="127"/>
        <v>-3009560.5500000003</v>
      </c>
      <c r="G180" s="255">
        <f t="shared" ref="G180:G181" si="128">F180-E180</f>
        <v>118208.44999999972</v>
      </c>
      <c r="J180" s="1"/>
    </row>
    <row r="181" spans="1:10" x14ac:dyDescent="0.35">
      <c r="A181" s="274"/>
      <c r="B181" s="274"/>
      <c r="C181" s="273" t="s">
        <v>1194</v>
      </c>
      <c r="D181" s="254">
        <f>D197</f>
        <v>0</v>
      </c>
      <c r="E181" s="254">
        <f t="shared" ref="E181:F181" si="129">E197</f>
        <v>-8100</v>
      </c>
      <c r="F181" s="254">
        <f t="shared" si="129"/>
        <v>0</v>
      </c>
      <c r="G181" s="254">
        <f t="shared" si="128"/>
        <v>8100</v>
      </c>
      <c r="J181" s="1"/>
    </row>
    <row r="182" spans="1:10" x14ac:dyDescent="0.35">
      <c r="A182" s="273"/>
      <c r="B182" s="273"/>
      <c r="C182" s="273" t="s">
        <v>739</v>
      </c>
      <c r="D182" s="254">
        <v>0</v>
      </c>
      <c r="E182" s="254">
        <f>E188</f>
        <v>-3880.2</v>
      </c>
      <c r="F182" s="254">
        <f>F188</f>
        <v>-3532.32</v>
      </c>
      <c r="G182" s="254">
        <f>F182-E182</f>
        <v>347.87999999999965</v>
      </c>
      <c r="J182" s="1"/>
    </row>
    <row r="183" spans="1:10" x14ac:dyDescent="0.35">
      <c r="A183" s="273"/>
      <c r="B183" s="273"/>
      <c r="C183" s="273" t="s">
        <v>740</v>
      </c>
      <c r="D183" s="254">
        <f>D189</f>
        <v>-76000</v>
      </c>
      <c r="E183" s="254">
        <f t="shared" ref="E183:F183" si="130">E189</f>
        <v>-100275.8</v>
      </c>
      <c r="F183" s="254">
        <f t="shared" si="130"/>
        <v>-49273.82</v>
      </c>
      <c r="G183" s="254">
        <f t="shared" ref="G183:G186" si="131">F183-E183</f>
        <v>51001.98</v>
      </c>
      <c r="J183" s="1"/>
    </row>
    <row r="184" spans="1:10" x14ac:dyDescent="0.35">
      <c r="A184" s="273"/>
      <c r="B184" s="273"/>
      <c r="C184" s="273" t="s">
        <v>1033</v>
      </c>
      <c r="D184" s="254">
        <f>D192</f>
        <v>-19181</v>
      </c>
      <c r="E184" s="254">
        <f t="shared" ref="E184:F184" si="132">E192</f>
        <v>-19181</v>
      </c>
      <c r="F184" s="254">
        <f t="shared" si="132"/>
        <v>-19111.490000000002</v>
      </c>
      <c r="G184" s="254">
        <f t="shared" si="131"/>
        <v>69.509999999998399</v>
      </c>
      <c r="J184" s="1"/>
    </row>
    <row r="185" spans="1:10" x14ac:dyDescent="0.35">
      <c r="A185" s="273"/>
      <c r="B185" s="273"/>
      <c r="C185" s="273" t="s">
        <v>1034</v>
      </c>
      <c r="D185" s="254">
        <f>D194+D190</f>
        <v>-679836</v>
      </c>
      <c r="E185" s="254">
        <f>E194+E190</f>
        <v>-646412</v>
      </c>
      <c r="F185" s="254">
        <f>F194+F190</f>
        <v>-638062.26</v>
      </c>
      <c r="G185" s="254">
        <f t="shared" si="131"/>
        <v>8349.7399999999907</v>
      </c>
      <c r="J185" s="1"/>
    </row>
    <row r="186" spans="1:10" x14ac:dyDescent="0.35">
      <c r="A186" s="273"/>
      <c r="B186" s="273"/>
      <c r="C186" s="273" t="s">
        <v>1035</v>
      </c>
      <c r="D186" s="254">
        <f>D199</f>
        <v>-2349920</v>
      </c>
      <c r="E186" s="254">
        <f t="shared" ref="E186:F186" si="133">E199</f>
        <v>-2349920</v>
      </c>
      <c r="F186" s="254">
        <f t="shared" si="133"/>
        <v>-2299580.66</v>
      </c>
      <c r="G186" s="254">
        <f t="shared" si="131"/>
        <v>50339.339999999851</v>
      </c>
      <c r="J186" s="1"/>
    </row>
    <row r="187" spans="1:10" x14ac:dyDescent="0.35">
      <c r="A187" s="274"/>
      <c r="B187" s="274"/>
      <c r="C187" s="274" t="s">
        <v>1037</v>
      </c>
      <c r="D187" s="255">
        <f>SUM(D189:D190)</f>
        <v>-391400</v>
      </c>
      <c r="E187" s="255">
        <f>SUM(E188:E190)</f>
        <v>-386132</v>
      </c>
      <c r="F187" s="255">
        <f>SUM(F188:F190)</f>
        <v>-326432.55</v>
      </c>
      <c r="G187" s="255">
        <f>F187-E187</f>
        <v>59699.450000000012</v>
      </c>
      <c r="I187" s="248">
        <f>SUM(I188:I190)</f>
        <v>-5267.9999999999964</v>
      </c>
    </row>
    <row r="188" spans="1:10" x14ac:dyDescent="0.35">
      <c r="A188" s="273"/>
      <c r="B188" s="273"/>
      <c r="C188" s="273" t="s">
        <v>739</v>
      </c>
      <c r="D188" s="254">
        <v>0</v>
      </c>
      <c r="E188" s="254">
        <v>-3880.2</v>
      </c>
      <c r="F188" s="254">
        <v>-3532.32</v>
      </c>
      <c r="G188" s="254">
        <f>F188-E188</f>
        <v>347.87999999999965</v>
      </c>
      <c r="I188" s="248">
        <f>D188-E188</f>
        <v>3880.2</v>
      </c>
      <c r="J188" s="1"/>
    </row>
    <row r="189" spans="1:10" x14ac:dyDescent="0.35">
      <c r="A189" s="273"/>
      <c r="B189" s="273"/>
      <c r="C189" s="273" t="s">
        <v>740</v>
      </c>
      <c r="D189" s="254">
        <v>-76000</v>
      </c>
      <c r="E189" s="254">
        <f>D189-24275.8</f>
        <v>-100275.8</v>
      </c>
      <c r="F189" s="254">
        <v>-49273.82</v>
      </c>
      <c r="G189" s="254">
        <f t="shared" ref="G189" si="134">F189-E189</f>
        <v>51001.98</v>
      </c>
      <c r="I189" s="248">
        <f t="shared" ref="I189:I190" si="135">D189-E189</f>
        <v>24275.800000000003</v>
      </c>
      <c r="J189" s="1"/>
    </row>
    <row r="190" spans="1:10" x14ac:dyDescent="0.35">
      <c r="A190" s="273"/>
      <c r="B190" s="273"/>
      <c r="C190" s="273" t="s">
        <v>1034</v>
      </c>
      <c r="D190" s="254">
        <v>-315400</v>
      </c>
      <c r="E190" s="254">
        <f>D190+33424</f>
        <v>-281976</v>
      </c>
      <c r="F190" s="254">
        <v>-273626.40999999997</v>
      </c>
      <c r="G190" s="254">
        <f t="shared" ref="G190" si="136">F190-E190</f>
        <v>8349.5900000000256</v>
      </c>
      <c r="I190" s="248">
        <f t="shared" si="135"/>
        <v>-33424</v>
      </c>
      <c r="J190" s="1"/>
    </row>
    <row r="191" spans="1:10" s="64" customFormat="1" x14ac:dyDescent="0.35">
      <c r="A191" s="274"/>
      <c r="B191" s="274"/>
      <c r="C191" s="274" t="s">
        <v>1038</v>
      </c>
      <c r="D191" s="255">
        <f>D192+D194</f>
        <v>-383617</v>
      </c>
      <c r="E191" s="255">
        <f t="shared" ref="E191:F191" si="137">E192+E194</f>
        <v>-383617</v>
      </c>
      <c r="F191" s="255">
        <f t="shared" si="137"/>
        <v>-383547.33999999997</v>
      </c>
      <c r="G191" s="255">
        <f>F191-E191</f>
        <v>69.660000000032596</v>
      </c>
      <c r="H191" s="248"/>
      <c r="I191" s="248"/>
      <c r="J191" s="1"/>
    </row>
    <row r="192" spans="1:10" x14ac:dyDescent="0.35">
      <c r="A192" s="273"/>
      <c r="B192" s="273"/>
      <c r="C192" s="273" t="s">
        <v>1033</v>
      </c>
      <c r="D192" s="254">
        <f>D193</f>
        <v>-19181</v>
      </c>
      <c r="E192" s="254">
        <f t="shared" ref="E192:E195" si="138">D192</f>
        <v>-19181</v>
      </c>
      <c r="F192" s="254">
        <f>F193</f>
        <v>-19111.490000000002</v>
      </c>
      <c r="G192" s="254">
        <f t="shared" ref="G192:G195" si="139">F192-E192</f>
        <v>69.509999999998399</v>
      </c>
      <c r="J192" s="1"/>
    </row>
    <row r="193" spans="1:10" s="282" customFormat="1" x14ac:dyDescent="0.35">
      <c r="A193" s="279"/>
      <c r="B193" s="279"/>
      <c r="C193" s="279" t="s">
        <v>1052</v>
      </c>
      <c r="D193" s="280">
        <v>-19181</v>
      </c>
      <c r="E193" s="280">
        <f t="shared" si="138"/>
        <v>-19181</v>
      </c>
      <c r="F193" s="280">
        <f>-19111.66+0.17</f>
        <v>-19111.490000000002</v>
      </c>
      <c r="G193" s="280">
        <f t="shared" si="139"/>
        <v>69.509999999998399</v>
      </c>
      <c r="H193" s="281"/>
      <c r="I193" s="281"/>
      <c r="J193" s="1"/>
    </row>
    <row r="194" spans="1:10" x14ac:dyDescent="0.35">
      <c r="A194" s="273"/>
      <c r="B194" s="273"/>
      <c r="C194" s="273" t="s">
        <v>1034</v>
      </c>
      <c r="D194" s="254">
        <f>D195</f>
        <v>-364436</v>
      </c>
      <c r="E194" s="254">
        <f t="shared" si="138"/>
        <v>-364436</v>
      </c>
      <c r="F194" s="254">
        <f>F195</f>
        <v>-364435.85</v>
      </c>
      <c r="G194" s="254">
        <f t="shared" si="139"/>
        <v>0.15000000002328306</v>
      </c>
      <c r="J194" s="1"/>
    </row>
    <row r="195" spans="1:10" s="282" customFormat="1" x14ac:dyDescent="0.35">
      <c r="A195" s="279"/>
      <c r="B195" s="279"/>
      <c r="C195" s="279" t="s">
        <v>1052</v>
      </c>
      <c r="D195" s="280">
        <v>-364436</v>
      </c>
      <c r="E195" s="280">
        <f t="shared" si="138"/>
        <v>-364436</v>
      </c>
      <c r="F195" s="280">
        <v>-364435.85</v>
      </c>
      <c r="G195" s="280">
        <f t="shared" si="139"/>
        <v>0.15000000002328306</v>
      </c>
      <c r="H195" s="281"/>
      <c r="I195" s="281"/>
      <c r="J195" s="1"/>
    </row>
    <row r="196" spans="1:10" s="64" customFormat="1" x14ac:dyDescent="0.35">
      <c r="A196" s="274"/>
      <c r="B196" s="274"/>
      <c r="C196" s="274" t="s">
        <v>1040</v>
      </c>
      <c r="D196" s="255">
        <f>D197</f>
        <v>0</v>
      </c>
      <c r="E196" s="255">
        <f t="shared" ref="E196:G196" si="140">E197</f>
        <v>-8100</v>
      </c>
      <c r="F196" s="255">
        <f t="shared" si="140"/>
        <v>0</v>
      </c>
      <c r="G196" s="255">
        <f t="shared" si="140"/>
        <v>8100</v>
      </c>
      <c r="H196" s="248"/>
      <c r="I196" s="248">
        <f>D196-E196</f>
        <v>8100</v>
      </c>
      <c r="J196" s="1"/>
    </row>
    <row r="197" spans="1:10" x14ac:dyDescent="0.35">
      <c r="A197" s="273"/>
      <c r="B197" s="273"/>
      <c r="C197" s="273" t="s">
        <v>1194</v>
      </c>
      <c r="D197" s="254">
        <v>0</v>
      </c>
      <c r="E197" s="254">
        <v>-8100</v>
      </c>
      <c r="F197" s="254">
        <v>0</v>
      </c>
      <c r="G197" s="254">
        <f t="shared" ref="G197" si="141">F197-E197</f>
        <v>8100</v>
      </c>
      <c r="H197" s="248" t="s">
        <v>1171</v>
      </c>
      <c r="J197" s="1"/>
    </row>
    <row r="198" spans="1:10" x14ac:dyDescent="0.35">
      <c r="A198" s="274"/>
      <c r="B198" s="274"/>
      <c r="C198" s="274" t="s">
        <v>1045</v>
      </c>
      <c r="D198" s="255">
        <f>SUM(D199:D199)</f>
        <v>-2349920</v>
      </c>
      <c r="E198" s="255">
        <f>SUM(E199:E199)</f>
        <v>-2349920</v>
      </c>
      <c r="F198" s="255">
        <f>SUM(F199:F199)</f>
        <v>-2299580.66</v>
      </c>
      <c r="G198" s="255">
        <f>F198-E198</f>
        <v>50339.339999999851</v>
      </c>
      <c r="J198" s="1"/>
    </row>
    <row r="199" spans="1:10" x14ac:dyDescent="0.35">
      <c r="A199" s="273"/>
      <c r="B199" s="273"/>
      <c r="C199" s="273" t="s">
        <v>742</v>
      </c>
      <c r="D199" s="254">
        <f>-1492400-857520</f>
        <v>-2349920</v>
      </c>
      <c r="E199" s="254">
        <f t="shared" ref="E199" si="142">D199</f>
        <v>-2349920</v>
      </c>
      <c r="F199" s="254">
        <v>-2299580.66</v>
      </c>
      <c r="G199" s="254">
        <f t="shared" ref="G199:G201" si="143">F199-E199</f>
        <v>50339.339999999851</v>
      </c>
      <c r="H199" s="248" t="s">
        <v>1170</v>
      </c>
      <c r="J199" s="1"/>
    </row>
    <row r="200" spans="1:10" s="64" customFormat="1" ht="15" x14ac:dyDescent="0.35">
      <c r="A200" s="283" t="s">
        <v>1059</v>
      </c>
      <c r="B200" s="274"/>
      <c r="C200" s="274"/>
      <c r="D200" s="255">
        <f>SUM(D201:D201)</f>
        <v>-43426724</v>
      </c>
      <c r="E200" s="255">
        <f>SUM(E201:E201)</f>
        <v>-48737595.509999998</v>
      </c>
      <c r="F200" s="255">
        <f>SUM(F201:F201)</f>
        <v>-48737595.509999998</v>
      </c>
      <c r="G200" s="255">
        <f t="shared" si="143"/>
        <v>0</v>
      </c>
      <c r="H200" s="248"/>
      <c r="I200" s="248"/>
      <c r="J200" s="1"/>
    </row>
    <row r="201" spans="1:10" x14ac:dyDescent="0.35">
      <c r="A201" s="273"/>
      <c r="B201" s="273" t="s">
        <v>1037</v>
      </c>
      <c r="C201" s="273"/>
      <c r="D201" s="254">
        <f>D205</f>
        <v>-43426724</v>
      </c>
      <c r="E201" s="254">
        <f t="shared" ref="E201" si="144">E205</f>
        <v>-48737595.509999998</v>
      </c>
      <c r="F201" s="254">
        <f>F205</f>
        <v>-48737595.509999998</v>
      </c>
      <c r="G201" s="254">
        <f t="shared" si="143"/>
        <v>0</v>
      </c>
      <c r="J201" s="1"/>
    </row>
    <row r="202" spans="1:10" x14ac:dyDescent="0.35">
      <c r="A202" s="274"/>
      <c r="B202" s="274" t="s">
        <v>88</v>
      </c>
      <c r="C202" s="274"/>
      <c r="D202" s="255">
        <f>SUM(D203:D204)</f>
        <v>-43426724</v>
      </c>
      <c r="E202" s="255">
        <f>SUM(E203:E204)</f>
        <v>-48737595.509999998</v>
      </c>
      <c r="F202" s="255">
        <f>SUM(F203:F204)</f>
        <v>-48737595.509999998</v>
      </c>
      <c r="G202" s="255">
        <f>F202-E202</f>
        <v>0</v>
      </c>
      <c r="J202" s="1"/>
    </row>
    <row r="203" spans="1:10" x14ac:dyDescent="0.35">
      <c r="A203" s="273"/>
      <c r="B203" s="273"/>
      <c r="C203" s="273" t="s">
        <v>1043</v>
      </c>
      <c r="D203" s="254">
        <f>D206</f>
        <v>-1871333</v>
      </c>
      <c r="E203" s="254">
        <f t="shared" ref="E203:F203" si="145">E206</f>
        <v>-5474550</v>
      </c>
      <c r="F203" s="254">
        <f t="shared" si="145"/>
        <v>-5474550</v>
      </c>
      <c r="G203" s="254">
        <f t="shared" ref="G203:G204" si="146">F203-E203</f>
        <v>0</v>
      </c>
      <c r="J203" s="1"/>
    </row>
    <row r="204" spans="1:10" x14ac:dyDescent="0.35">
      <c r="A204" s="273"/>
      <c r="B204" s="273"/>
      <c r="C204" s="273" t="s">
        <v>1034</v>
      </c>
      <c r="D204" s="254">
        <f>D207</f>
        <v>-41555391</v>
      </c>
      <c r="E204" s="254">
        <f t="shared" ref="E204:F204" si="147">E207</f>
        <v>-43263045.509999998</v>
      </c>
      <c r="F204" s="254">
        <f t="shared" si="147"/>
        <v>-43263045.509999998</v>
      </c>
      <c r="G204" s="254">
        <f t="shared" si="146"/>
        <v>0</v>
      </c>
      <c r="J204" s="1"/>
    </row>
    <row r="205" spans="1:10" x14ac:dyDescent="0.35">
      <c r="A205" s="274"/>
      <c r="B205" s="274"/>
      <c r="C205" s="274" t="s">
        <v>1037</v>
      </c>
      <c r="D205" s="255">
        <f>SUM(D206:D207)</f>
        <v>-43426724</v>
      </c>
      <c r="E205" s="255">
        <f t="shared" ref="E205" si="148">SUM(E206:E207)</f>
        <v>-48737595.509999998</v>
      </c>
      <c r="F205" s="255">
        <f t="shared" ref="F205" si="149">SUM(F206:F207)</f>
        <v>-48737595.509999998</v>
      </c>
      <c r="G205" s="255">
        <f>F205-E205</f>
        <v>0</v>
      </c>
      <c r="J205" s="1"/>
    </row>
    <row r="206" spans="1:10" x14ac:dyDescent="0.35">
      <c r="A206" s="273"/>
      <c r="B206" s="273"/>
      <c r="C206" s="273" t="s">
        <v>1043</v>
      </c>
      <c r="D206" s="254">
        <v>-1871333</v>
      </c>
      <c r="E206" s="254">
        <f>D206-3603217</f>
        <v>-5474550</v>
      </c>
      <c r="F206" s="254">
        <v>-5474550</v>
      </c>
      <c r="G206" s="254">
        <f t="shared" ref="G206:G209" si="150">F206-E206</f>
        <v>0</v>
      </c>
      <c r="H206" s="248" t="s">
        <v>1060</v>
      </c>
      <c r="I206" s="248">
        <f>D206-E206</f>
        <v>3603217</v>
      </c>
      <c r="J206" s="1"/>
    </row>
    <row r="207" spans="1:10" x14ac:dyDescent="0.35">
      <c r="A207" s="273"/>
      <c r="B207" s="273"/>
      <c r="C207" s="273" t="s">
        <v>1034</v>
      </c>
      <c r="D207" s="254">
        <f>-43426724+1871333</f>
        <v>-41555391</v>
      </c>
      <c r="E207" s="254">
        <f>D207-1707654.51</f>
        <v>-43263045.509999998</v>
      </c>
      <c r="F207" s="254">
        <v>-43263045.509999998</v>
      </c>
      <c r="G207" s="254">
        <f t="shared" si="150"/>
        <v>0</v>
      </c>
      <c r="I207" s="248">
        <f>D207-E207</f>
        <v>1707654.5099999979</v>
      </c>
      <c r="J207" s="1"/>
    </row>
    <row r="208" spans="1:10" s="64" customFormat="1" ht="15" x14ac:dyDescent="0.35">
      <c r="A208" s="283" t="s">
        <v>1061</v>
      </c>
      <c r="B208" s="274"/>
      <c r="C208" s="274"/>
      <c r="D208" s="255">
        <f>SUM(D209:D209)</f>
        <v>-15370715</v>
      </c>
      <c r="E208" s="255">
        <f>SUM(E209:E209)</f>
        <v>-24292056.780000001</v>
      </c>
      <c r="F208" s="255">
        <f>SUM(F209:F209)</f>
        <v>-24083585.689999998</v>
      </c>
      <c r="G208" s="255">
        <f t="shared" si="150"/>
        <v>208471.09000000358</v>
      </c>
      <c r="H208" s="248"/>
      <c r="I208" s="248"/>
      <c r="J208" s="1"/>
    </row>
    <row r="209" spans="1:12" x14ac:dyDescent="0.35">
      <c r="A209" s="273"/>
      <c r="B209" s="273" t="s">
        <v>1037</v>
      </c>
      <c r="C209" s="273"/>
      <c r="D209" s="254">
        <f>D213</f>
        <v>-15370715</v>
      </c>
      <c r="E209" s="254">
        <f t="shared" ref="E209" si="151">E213</f>
        <v>-24292056.780000001</v>
      </c>
      <c r="F209" s="254">
        <f>F213</f>
        <v>-24083585.689999998</v>
      </c>
      <c r="G209" s="254">
        <f t="shared" si="150"/>
        <v>208471.09000000358</v>
      </c>
      <c r="J209" s="1"/>
    </row>
    <row r="210" spans="1:12" x14ac:dyDescent="0.35">
      <c r="A210" s="274"/>
      <c r="B210" s="274" t="s">
        <v>88</v>
      </c>
      <c r="C210" s="274"/>
      <c r="D210" s="255">
        <f>SUM(D211:D212)</f>
        <v>-15370715</v>
      </c>
      <c r="E210" s="255">
        <f>SUM(E211:E212)</f>
        <v>-24292056.780000001</v>
      </c>
      <c r="F210" s="255">
        <f>SUM(F211:F212)</f>
        <v>-24083585.689999998</v>
      </c>
      <c r="G210" s="255">
        <f>F210-E210</f>
        <v>208471.09000000358</v>
      </c>
      <c r="J210" s="1"/>
    </row>
    <row r="211" spans="1:12" x14ac:dyDescent="0.35">
      <c r="A211" s="273"/>
      <c r="B211" s="273"/>
      <c r="C211" s="273" t="s">
        <v>1043</v>
      </c>
      <c r="D211" s="254">
        <f>D214</f>
        <v>-1131265</v>
      </c>
      <c r="E211" s="254">
        <f t="shared" ref="E211:F211" si="152">E214</f>
        <v>-9594407.7799999993</v>
      </c>
      <c r="F211" s="254">
        <f t="shared" si="152"/>
        <v>-9594407.7799999993</v>
      </c>
      <c r="G211" s="254">
        <f t="shared" ref="G211:G212" si="153">F211-E211</f>
        <v>0</v>
      </c>
      <c r="J211" s="1" t="s">
        <v>1083</v>
      </c>
      <c r="L211" s="248">
        <f>D211--939265</f>
        <v>-192000</v>
      </c>
    </row>
    <row r="212" spans="1:12" x14ac:dyDescent="0.35">
      <c r="A212" s="273"/>
      <c r="B212" s="273"/>
      <c r="C212" s="273" t="s">
        <v>1034</v>
      </c>
      <c r="D212" s="254">
        <f>D215</f>
        <v>-14239450</v>
      </c>
      <c r="E212" s="254">
        <f t="shared" ref="E212:F212" si="154">E215</f>
        <v>-14697649</v>
      </c>
      <c r="F212" s="254">
        <f t="shared" si="154"/>
        <v>-14489177.91</v>
      </c>
      <c r="G212" s="254">
        <f t="shared" si="153"/>
        <v>208471.08999999985</v>
      </c>
      <c r="J212" s="1" t="s">
        <v>1159</v>
      </c>
      <c r="L212" s="248">
        <f>D212--14431450</f>
        <v>192000</v>
      </c>
    </row>
    <row r="213" spans="1:12" x14ac:dyDescent="0.35">
      <c r="A213" s="274"/>
      <c r="B213" s="274"/>
      <c r="C213" s="274" t="s">
        <v>1037</v>
      </c>
      <c r="D213" s="255">
        <f>SUM(D214:D215)</f>
        <v>-15370715</v>
      </c>
      <c r="E213" s="255">
        <f t="shared" ref="E213" si="155">SUM(E214:E215)</f>
        <v>-24292056.780000001</v>
      </c>
      <c r="F213" s="255">
        <f t="shared" ref="F213" si="156">SUM(F214:F215)</f>
        <v>-24083585.689999998</v>
      </c>
      <c r="G213" s="255">
        <f>F213-E213</f>
        <v>208471.09000000358</v>
      </c>
      <c r="J213" s="1"/>
    </row>
    <row r="214" spans="1:12" x14ac:dyDescent="0.35">
      <c r="A214" s="273"/>
      <c r="B214" s="273"/>
      <c r="C214" s="273" t="s">
        <v>1043</v>
      </c>
      <c r="D214" s="254">
        <v>-1131265</v>
      </c>
      <c r="E214" s="254">
        <f>D214-8463142.78</f>
        <v>-9594407.7799999993</v>
      </c>
      <c r="F214" s="254">
        <v>-9594407.7799999993</v>
      </c>
      <c r="G214" s="254">
        <f t="shared" ref="G214:G221" si="157">F214-E214</f>
        <v>0</v>
      </c>
      <c r="H214" s="248" t="s">
        <v>1062</v>
      </c>
      <c r="I214" s="248">
        <f>D214-E214</f>
        <v>8463142.7799999993</v>
      </c>
      <c r="J214" s="1"/>
    </row>
    <row r="215" spans="1:12" x14ac:dyDescent="0.35">
      <c r="A215" s="273"/>
      <c r="B215" s="273"/>
      <c r="C215" s="273" t="s">
        <v>1034</v>
      </c>
      <c r="D215" s="254">
        <f>-15370715+1131265</f>
        <v>-14239450</v>
      </c>
      <c r="E215" s="254">
        <f>D215-458199</f>
        <v>-14697649</v>
      </c>
      <c r="F215" s="254">
        <v>-14489177.91</v>
      </c>
      <c r="G215" s="254">
        <f t="shared" si="157"/>
        <v>208471.08999999985</v>
      </c>
      <c r="I215" s="248">
        <f>D215-E215</f>
        <v>458199</v>
      </c>
      <c r="J215" s="1"/>
    </row>
    <row r="216" spans="1:12" s="64" customFormat="1" ht="15.5" x14ac:dyDescent="0.35">
      <c r="A216" s="277" t="s">
        <v>1063</v>
      </c>
      <c r="B216" s="274"/>
      <c r="C216" s="274"/>
      <c r="D216" s="255">
        <f>SUM(D217:D221)</f>
        <v>-14762277</v>
      </c>
      <c r="E216" s="255">
        <f>SUM(E217:E221)</f>
        <v>-16305293.800000001</v>
      </c>
      <c r="F216" s="255">
        <f>SUM(F217:F221)</f>
        <v>-15102624.09</v>
      </c>
      <c r="G216" s="255">
        <f t="shared" si="157"/>
        <v>1202669.7100000009</v>
      </c>
      <c r="H216" s="248"/>
      <c r="I216" s="248"/>
      <c r="J216" s="1"/>
    </row>
    <row r="217" spans="1:12" x14ac:dyDescent="0.35">
      <c r="A217" s="273"/>
      <c r="B217" s="273" t="s">
        <v>1037</v>
      </c>
      <c r="C217" s="273"/>
      <c r="D217" s="254">
        <f>D225+D235</f>
        <v>-10853927</v>
      </c>
      <c r="E217" s="254">
        <f>E225+E235</f>
        <v>-11624816.050000001</v>
      </c>
      <c r="F217" s="254">
        <f>F225+F235</f>
        <v>-10881835.040000001</v>
      </c>
      <c r="G217" s="254">
        <f t="shared" si="157"/>
        <v>742981.00999999978</v>
      </c>
      <c r="J217" s="1"/>
    </row>
    <row r="218" spans="1:12" x14ac:dyDescent="0.35">
      <c r="A218" s="273"/>
      <c r="B218" s="273" t="s">
        <v>1038</v>
      </c>
      <c r="C218" s="273"/>
      <c r="D218" s="254">
        <v>0</v>
      </c>
      <c r="E218" s="254">
        <v>0</v>
      </c>
      <c r="F218" s="254">
        <f>F240</f>
        <v>-53</v>
      </c>
      <c r="G218" s="254">
        <f t="shared" si="157"/>
        <v>-53</v>
      </c>
      <c r="J218" s="1"/>
    </row>
    <row r="219" spans="1:12" ht="15.5" x14ac:dyDescent="0.35">
      <c r="A219" s="272"/>
      <c r="B219" s="273" t="s">
        <v>1039</v>
      </c>
      <c r="C219" s="273"/>
      <c r="D219" s="254">
        <v>0</v>
      </c>
      <c r="E219" s="254">
        <f>E242</f>
        <v>-621629.77</v>
      </c>
      <c r="F219" s="254">
        <f>F242</f>
        <v>-350182.52</v>
      </c>
      <c r="G219" s="254">
        <f>F219-E219</f>
        <v>271447.25</v>
      </c>
      <c r="J219" s="1"/>
    </row>
    <row r="220" spans="1:12" x14ac:dyDescent="0.35">
      <c r="A220" s="273"/>
      <c r="B220" s="273" t="s">
        <v>1040</v>
      </c>
      <c r="C220" s="273"/>
      <c r="D220" s="254">
        <f>D246</f>
        <v>-54000</v>
      </c>
      <c r="E220" s="254">
        <f>E246</f>
        <v>-204497.98</v>
      </c>
      <c r="F220" s="254">
        <f>F246</f>
        <v>-97120.28</v>
      </c>
      <c r="G220" s="254">
        <f>F220-E220</f>
        <v>107377.70000000001</v>
      </c>
      <c r="J220" s="1"/>
    </row>
    <row r="221" spans="1:12" x14ac:dyDescent="0.35">
      <c r="A221" s="273"/>
      <c r="B221" s="273" t="s">
        <v>1045</v>
      </c>
      <c r="C221" s="273"/>
      <c r="D221" s="254">
        <f>D227</f>
        <v>-3854350</v>
      </c>
      <c r="E221" s="254">
        <f t="shared" ref="E221:F221" si="158">E227</f>
        <v>-3854350</v>
      </c>
      <c r="F221" s="254">
        <f t="shared" si="158"/>
        <v>-3773433.25</v>
      </c>
      <c r="G221" s="254">
        <f t="shared" si="157"/>
        <v>80916.75</v>
      </c>
      <c r="J221" s="1"/>
    </row>
    <row r="222" spans="1:12" x14ac:dyDescent="0.35">
      <c r="A222" s="274"/>
      <c r="B222" s="274" t="s">
        <v>88</v>
      </c>
      <c r="C222" s="274"/>
      <c r="D222" s="255">
        <f>SUM(D223:D224)</f>
        <v>-9028002</v>
      </c>
      <c r="E222" s="255">
        <f>SUM(E223:E224)</f>
        <v>-9200914</v>
      </c>
      <c r="F222" s="255">
        <f>SUM(F223:F224)</f>
        <v>-8907122.1600000001</v>
      </c>
      <c r="G222" s="255">
        <f>F222-E222</f>
        <v>293791.83999999985</v>
      </c>
      <c r="J222" s="1"/>
    </row>
    <row r="223" spans="1:12" x14ac:dyDescent="0.35">
      <c r="A223" s="273"/>
      <c r="B223" s="273"/>
      <c r="C223" s="273" t="s">
        <v>1034</v>
      </c>
      <c r="D223" s="254">
        <f>D226</f>
        <v>-5173652</v>
      </c>
      <c r="E223" s="254">
        <f t="shared" ref="E223:F223" si="159">E226</f>
        <v>-5346564</v>
      </c>
      <c r="F223" s="254">
        <f t="shared" si="159"/>
        <v>-5133688.91</v>
      </c>
      <c r="G223" s="254">
        <f t="shared" ref="G223:G224" si="160">F223-E223</f>
        <v>212875.08999999985</v>
      </c>
      <c r="J223" s="1"/>
    </row>
    <row r="224" spans="1:12" x14ac:dyDescent="0.35">
      <c r="A224" s="273"/>
      <c r="B224" s="273"/>
      <c r="C224" s="273" t="s">
        <v>1035</v>
      </c>
      <c r="D224" s="254">
        <f>D228</f>
        <v>-3854350</v>
      </c>
      <c r="E224" s="254">
        <f t="shared" ref="E224:F224" si="161">E228</f>
        <v>-3854350</v>
      </c>
      <c r="F224" s="254">
        <f t="shared" si="161"/>
        <v>-3773433.25</v>
      </c>
      <c r="G224" s="254">
        <f t="shared" si="160"/>
        <v>80916.75</v>
      </c>
      <c r="J224" s="1"/>
    </row>
    <row r="225" spans="1:15" x14ac:dyDescent="0.35">
      <c r="A225" s="274"/>
      <c r="B225" s="274"/>
      <c r="C225" s="274" t="s">
        <v>1037</v>
      </c>
      <c r="D225" s="255">
        <f>SUM(D226:D226)</f>
        <v>-5173652</v>
      </c>
      <c r="E225" s="255">
        <f>SUM(E226:E226)</f>
        <v>-5346564</v>
      </c>
      <c r="F225" s="255">
        <f>SUM(F226:F226)</f>
        <v>-5133688.91</v>
      </c>
      <c r="G225" s="255">
        <f>F225-E225</f>
        <v>212875.08999999985</v>
      </c>
      <c r="J225" s="1"/>
    </row>
    <row r="226" spans="1:15" x14ac:dyDescent="0.35">
      <c r="A226" s="273"/>
      <c r="B226" s="273"/>
      <c r="C226" s="273" t="s">
        <v>1034</v>
      </c>
      <c r="D226" s="254">
        <v>-5173652</v>
      </c>
      <c r="E226" s="254">
        <f>D226-172912</f>
        <v>-5346564</v>
      </c>
      <c r="F226" s="254">
        <v>-5133688.91</v>
      </c>
      <c r="G226" s="254">
        <f t="shared" ref="G226" si="162">F226-E226</f>
        <v>212875.08999999985</v>
      </c>
      <c r="I226" s="248">
        <f>D226-E226</f>
        <v>172912</v>
      </c>
      <c r="J226" s="1"/>
    </row>
    <row r="227" spans="1:15" x14ac:dyDescent="0.35">
      <c r="A227" s="274"/>
      <c r="B227" s="274"/>
      <c r="C227" s="274" t="s">
        <v>1045</v>
      </c>
      <c r="D227" s="255">
        <f>SUM(D228:D228)</f>
        <v>-3854350</v>
      </c>
      <c r="E227" s="255">
        <f>SUM(E228:E228)</f>
        <v>-3854350</v>
      </c>
      <c r="F227" s="255">
        <f>SUM(F228:F228)</f>
        <v>-3773433.25</v>
      </c>
      <c r="G227" s="255">
        <f>F227-E227</f>
        <v>80916.75</v>
      </c>
      <c r="J227" s="1"/>
    </row>
    <row r="228" spans="1:15" x14ac:dyDescent="0.35">
      <c r="A228" s="273"/>
      <c r="B228" s="273"/>
      <c r="C228" s="273" t="s">
        <v>742</v>
      </c>
      <c r="D228" s="254">
        <f>-2425150-1429200</f>
        <v>-3854350</v>
      </c>
      <c r="E228" s="254">
        <f t="shared" ref="E228" si="163">D228</f>
        <v>-3854350</v>
      </c>
      <c r="F228" s="254">
        <v>-3773433.25</v>
      </c>
      <c r="G228" s="254">
        <f t="shared" ref="G228" si="164">F228-E228</f>
        <v>80916.75</v>
      </c>
      <c r="H228" s="248" t="s">
        <v>1170</v>
      </c>
      <c r="J228" s="1"/>
    </row>
    <row r="229" spans="1:15" x14ac:dyDescent="0.35">
      <c r="A229" s="274"/>
      <c r="B229" s="274" t="s">
        <v>1064</v>
      </c>
      <c r="C229" s="274"/>
      <c r="D229" s="255">
        <f>SUM(D230:D234)</f>
        <v>-5734275</v>
      </c>
      <c r="E229" s="255">
        <f t="shared" ref="E229:G229" si="165">SUM(E230:E234)</f>
        <v>-7104379.7999999998</v>
      </c>
      <c r="F229" s="255">
        <f t="shared" si="165"/>
        <v>-6195501.9300000006</v>
      </c>
      <c r="G229" s="255">
        <f t="shared" si="165"/>
        <v>908877.86999999965</v>
      </c>
      <c r="J229" s="1"/>
    </row>
    <row r="230" spans="1:15" x14ac:dyDescent="0.35">
      <c r="A230" s="273"/>
      <c r="B230" s="273"/>
      <c r="C230" s="273" t="s">
        <v>1194</v>
      </c>
      <c r="D230" s="254">
        <f>D247+D243</f>
        <v>0</v>
      </c>
      <c r="E230" s="254">
        <f>E247+E243</f>
        <v>-826127.75</v>
      </c>
      <c r="F230" s="254">
        <f>F247+F243</f>
        <v>0</v>
      </c>
      <c r="G230" s="254">
        <f>G247+G243</f>
        <v>826127.75</v>
      </c>
      <c r="J230" s="1"/>
    </row>
    <row r="231" spans="1:15" x14ac:dyDescent="0.35">
      <c r="A231" s="273"/>
      <c r="B231" s="273"/>
      <c r="C231" s="273" t="s">
        <v>739</v>
      </c>
      <c r="D231" s="254">
        <f t="shared" ref="D231:E233" si="166">D236+D248</f>
        <v>-985735</v>
      </c>
      <c r="E231" s="254">
        <f t="shared" si="166"/>
        <v>-1139091</v>
      </c>
      <c r="F231" s="254">
        <f>F236+F248+F244</f>
        <v>-1261288.1000000001</v>
      </c>
      <c r="G231" s="254">
        <f t="shared" ref="G231:G232" si="167">F231-E231</f>
        <v>-122197.10000000009</v>
      </c>
      <c r="J231" s="1"/>
    </row>
    <row r="232" spans="1:15" x14ac:dyDescent="0.35">
      <c r="A232" s="273"/>
      <c r="B232" s="273"/>
      <c r="C232" s="273" t="s">
        <v>740</v>
      </c>
      <c r="D232" s="254">
        <f t="shared" si="166"/>
        <v>-355796</v>
      </c>
      <c r="E232" s="254">
        <f t="shared" si="166"/>
        <v>-435285.3</v>
      </c>
      <c r="F232" s="254">
        <f>F237+F249+F245</f>
        <v>-604341.34000000008</v>
      </c>
      <c r="G232" s="254">
        <f t="shared" si="167"/>
        <v>-169056.0400000001</v>
      </c>
      <c r="J232" s="1"/>
    </row>
    <row r="233" spans="1:15" x14ac:dyDescent="0.35">
      <c r="A233" s="273"/>
      <c r="B233" s="273"/>
      <c r="C233" s="273" t="s">
        <v>1034</v>
      </c>
      <c r="D233" s="254">
        <f t="shared" si="166"/>
        <v>-4392744</v>
      </c>
      <c r="E233" s="254">
        <f t="shared" si="166"/>
        <v>-4703875.75</v>
      </c>
      <c r="F233" s="254">
        <f>F238+F250</f>
        <v>-4328369.49</v>
      </c>
      <c r="G233" s="254">
        <f>G238+G250</f>
        <v>375506.25999999978</v>
      </c>
      <c r="J233" s="1"/>
    </row>
    <row r="234" spans="1:15" x14ac:dyDescent="0.35">
      <c r="A234" s="273"/>
      <c r="B234" s="273"/>
      <c r="C234" s="273" t="s">
        <v>742</v>
      </c>
      <c r="D234" s="254">
        <f>D239+D241</f>
        <v>0</v>
      </c>
      <c r="E234" s="254">
        <f t="shared" ref="E234:G234" si="168">E239+E241</f>
        <v>0</v>
      </c>
      <c r="F234" s="254">
        <f t="shared" si="168"/>
        <v>-1503</v>
      </c>
      <c r="G234" s="254">
        <f t="shared" si="168"/>
        <v>-1503</v>
      </c>
      <c r="J234" s="1"/>
    </row>
    <row r="235" spans="1:15" x14ac:dyDescent="0.35">
      <c r="A235" s="274"/>
      <c r="B235" s="274"/>
      <c r="C235" s="274" t="s">
        <v>1037</v>
      </c>
      <c r="D235" s="255">
        <f>SUM(D236:D238)</f>
        <v>-5680275</v>
      </c>
      <c r="E235" s="255">
        <f>SUM(E236:E238)</f>
        <v>-6278252.0499999998</v>
      </c>
      <c r="F235" s="255">
        <f>SUM(F236:F239)</f>
        <v>-5748146.1300000008</v>
      </c>
      <c r="G235" s="255">
        <f>F235-E235</f>
        <v>530105.91999999899</v>
      </c>
      <c r="J235" s="1" t="s">
        <v>1165</v>
      </c>
      <c r="L235" s="267">
        <f>530105.89-497638.03</f>
        <v>32467.859999999986</v>
      </c>
    </row>
    <row r="236" spans="1:15" x14ac:dyDescent="0.35">
      <c r="A236" s="273"/>
      <c r="B236" s="273"/>
      <c r="C236" s="273" t="s">
        <v>739</v>
      </c>
      <c r="D236" s="254">
        <v>-962735</v>
      </c>
      <c r="E236" s="254">
        <f>D236-176356</f>
        <v>-1139091</v>
      </c>
      <c r="F236" s="254">
        <v>-1077927</v>
      </c>
      <c r="G236" s="254">
        <f t="shared" ref="G236:G239" si="169">F236-E236</f>
        <v>61164</v>
      </c>
      <c r="I236" s="248">
        <f>D236-E236</f>
        <v>176356</v>
      </c>
      <c r="J236" s="1"/>
      <c r="L236" s="267" t="s">
        <v>1163</v>
      </c>
      <c r="N236" s="267">
        <f>962735-1002813</f>
        <v>-40078</v>
      </c>
      <c r="O236" s="267" t="s">
        <v>1166</v>
      </c>
    </row>
    <row r="237" spans="1:15" x14ac:dyDescent="0.35">
      <c r="A237" s="273"/>
      <c r="B237" s="273"/>
      <c r="C237" s="273" t="s">
        <v>740</v>
      </c>
      <c r="D237" s="254">
        <v>-324796</v>
      </c>
      <c r="E237" s="254">
        <f>D237-110489.3</f>
        <v>-435285.3</v>
      </c>
      <c r="F237" s="254">
        <v>-347399.64</v>
      </c>
      <c r="G237" s="254">
        <f t="shared" si="169"/>
        <v>87885.659999999974</v>
      </c>
      <c r="I237" s="248">
        <f t="shared" ref="I237:I238" si="170">D237-E237</f>
        <v>110489.29999999999</v>
      </c>
      <c r="J237" s="1"/>
      <c r="L237" s="267" t="s">
        <v>1164</v>
      </c>
      <c r="N237" s="284">
        <f>324796-284718.44</f>
        <v>40077.56</v>
      </c>
      <c r="O237" s="267" t="s">
        <v>1166</v>
      </c>
    </row>
    <row r="238" spans="1:15" x14ac:dyDescent="0.35">
      <c r="A238" s="273"/>
      <c r="B238" s="273"/>
      <c r="C238" s="273" t="s">
        <v>1034</v>
      </c>
      <c r="D238" s="254">
        <v>-4392744</v>
      </c>
      <c r="E238" s="254">
        <f>D238-311131.75</f>
        <v>-4703875.75</v>
      </c>
      <c r="F238" s="254">
        <f>-4321369.49</f>
        <v>-4321369.49</v>
      </c>
      <c r="G238" s="254">
        <f t="shared" si="169"/>
        <v>382506.25999999978</v>
      </c>
      <c r="I238" s="248">
        <f t="shared" si="170"/>
        <v>311131.75</v>
      </c>
      <c r="J238" s="1" t="s">
        <v>1158</v>
      </c>
    </row>
    <row r="239" spans="1:15" x14ac:dyDescent="0.35">
      <c r="A239" s="273"/>
      <c r="B239" s="273"/>
      <c r="C239" s="273" t="s">
        <v>742</v>
      </c>
      <c r="D239" s="254">
        <v>0</v>
      </c>
      <c r="E239" s="254">
        <v>0</v>
      </c>
      <c r="F239" s="254">
        <v>-1450</v>
      </c>
      <c r="G239" s="254">
        <f t="shared" si="169"/>
        <v>-1450</v>
      </c>
      <c r="J239" s="267">
        <f>3000</f>
        <v>3000</v>
      </c>
      <c r="K239" s="1" t="s">
        <v>1168</v>
      </c>
    </row>
    <row r="240" spans="1:15" s="64" customFormat="1" x14ac:dyDescent="0.35">
      <c r="A240" s="274"/>
      <c r="B240" s="274"/>
      <c r="C240" s="274" t="s">
        <v>1038</v>
      </c>
      <c r="D240" s="255">
        <f>D241+D244</f>
        <v>0</v>
      </c>
      <c r="E240" s="255">
        <f>E241+E244</f>
        <v>0</v>
      </c>
      <c r="F240" s="255">
        <f>F241</f>
        <v>-53</v>
      </c>
      <c r="G240" s="255">
        <f>F240-E240</f>
        <v>-53</v>
      </c>
      <c r="H240" s="248"/>
      <c r="I240" s="248"/>
      <c r="J240" s="267">
        <f>3500+6542+1300+1155+700+3525+8000+6000-54.63-1199.48</f>
        <v>29467.89</v>
      </c>
      <c r="K240" s="1" t="s">
        <v>1169</v>
      </c>
    </row>
    <row r="241" spans="1:11" x14ac:dyDescent="0.35">
      <c r="A241" s="273"/>
      <c r="B241" s="273"/>
      <c r="C241" s="273" t="s">
        <v>742</v>
      </c>
      <c r="D241" s="254">
        <f>D242</f>
        <v>0</v>
      </c>
      <c r="E241" s="254">
        <f t="shared" ref="E241" si="171">D241</f>
        <v>0</v>
      </c>
      <c r="F241" s="254">
        <v>-53</v>
      </c>
      <c r="G241" s="254">
        <f t="shared" ref="G241" si="172">F241-E241</f>
        <v>-53</v>
      </c>
      <c r="J241" s="1"/>
    </row>
    <row r="242" spans="1:11" x14ac:dyDescent="0.35">
      <c r="A242" s="274"/>
      <c r="B242" s="274"/>
      <c r="C242" s="274" t="s">
        <v>1039</v>
      </c>
      <c r="D242" s="255">
        <f>SUM(D244:D245)</f>
        <v>0</v>
      </c>
      <c r="E242" s="255">
        <f>SUM(E243:E245)</f>
        <v>-621629.77</v>
      </c>
      <c r="F242" s="255">
        <f t="shared" ref="F242:G242" si="173">SUM(F243:F245)</f>
        <v>-350182.52</v>
      </c>
      <c r="G242" s="255">
        <f t="shared" si="173"/>
        <v>271447.25</v>
      </c>
      <c r="I242" s="248">
        <f>D242-E242</f>
        <v>621629.77</v>
      </c>
      <c r="J242" s="1"/>
    </row>
    <row r="243" spans="1:11" x14ac:dyDescent="0.35">
      <c r="A243" s="273"/>
      <c r="B243" s="273"/>
      <c r="C243" s="273" t="s">
        <v>1194</v>
      </c>
      <c r="D243" s="254">
        <v>0</v>
      </c>
      <c r="E243" s="254">
        <v>-621629.77</v>
      </c>
      <c r="F243" s="254">
        <v>0</v>
      </c>
      <c r="G243" s="254">
        <f>F243-E243</f>
        <v>621629.77</v>
      </c>
      <c r="J243" s="1"/>
    </row>
    <row r="244" spans="1:11" x14ac:dyDescent="0.35">
      <c r="A244" s="273"/>
      <c r="B244" s="273"/>
      <c r="C244" s="273" t="s">
        <v>739</v>
      </c>
      <c r="D244" s="254">
        <v>0</v>
      </c>
      <c r="E244" s="254">
        <f t="shared" ref="E244:E245" si="174">D244</f>
        <v>0</v>
      </c>
      <c r="F244" s="254">
        <v>-157623.38</v>
      </c>
      <c r="G244" s="254">
        <f t="shared" ref="G244:G245" si="175">F244-E244</f>
        <v>-157623.38</v>
      </c>
      <c r="J244" s="1"/>
    </row>
    <row r="245" spans="1:11" x14ac:dyDescent="0.35">
      <c r="A245" s="273"/>
      <c r="B245" s="273"/>
      <c r="C245" s="273" t="s">
        <v>740</v>
      </c>
      <c r="D245" s="254">
        <v>0</v>
      </c>
      <c r="E245" s="254">
        <f t="shared" si="174"/>
        <v>0</v>
      </c>
      <c r="F245" s="254">
        <v>-192559.14</v>
      </c>
      <c r="G245" s="254">
        <f t="shared" si="175"/>
        <v>-192559.14</v>
      </c>
      <c r="J245" s="1"/>
    </row>
    <row r="246" spans="1:11" x14ac:dyDescent="0.35">
      <c r="A246" s="274"/>
      <c r="B246" s="274"/>
      <c r="C246" s="274" t="s">
        <v>1040</v>
      </c>
      <c r="D246" s="255">
        <f>SUM(D247:D250)</f>
        <v>-54000</v>
      </c>
      <c r="E246" s="255">
        <f t="shared" ref="E246:G246" si="176">SUM(E247:E250)</f>
        <v>-204497.98</v>
      </c>
      <c r="F246" s="255">
        <f t="shared" si="176"/>
        <v>-97120.28</v>
      </c>
      <c r="G246" s="255">
        <f t="shared" si="176"/>
        <v>107377.70000000001</v>
      </c>
      <c r="I246" s="248">
        <f>D246-E246</f>
        <v>150497.98000000001</v>
      </c>
      <c r="J246" s="1"/>
    </row>
    <row r="247" spans="1:11" x14ac:dyDescent="0.35">
      <c r="A247" s="273"/>
      <c r="B247" s="273"/>
      <c r="C247" s="273" t="s">
        <v>1194</v>
      </c>
      <c r="D247" s="254">
        <v>0</v>
      </c>
      <c r="E247" s="254">
        <f>-197497.98-7000</f>
        <v>-204497.98</v>
      </c>
      <c r="F247" s="254">
        <v>0</v>
      </c>
      <c r="G247" s="254">
        <f t="shared" ref="G247" si="177">F247-E247</f>
        <v>204497.98</v>
      </c>
      <c r="J247" s="1"/>
    </row>
    <row r="248" spans="1:11" x14ac:dyDescent="0.35">
      <c r="A248" s="273"/>
      <c r="B248" s="273"/>
      <c r="C248" s="273" t="s">
        <v>739</v>
      </c>
      <c r="D248" s="254">
        <v>-23000</v>
      </c>
      <c r="E248" s="254">
        <f>D248+23000</f>
        <v>0</v>
      </c>
      <c r="F248" s="254">
        <v>-25737.72</v>
      </c>
      <c r="G248" s="254">
        <f>F248-E248</f>
        <v>-25737.72</v>
      </c>
      <c r="J248" s="1"/>
    </row>
    <row r="249" spans="1:11" x14ac:dyDescent="0.35">
      <c r="A249" s="274"/>
      <c r="B249" s="274"/>
      <c r="C249" s="273" t="s">
        <v>740</v>
      </c>
      <c r="D249" s="254">
        <v>-31000</v>
      </c>
      <c r="E249" s="254">
        <f>D249+31000</f>
        <v>0</v>
      </c>
      <c r="F249" s="254">
        <v>-64382.559999999998</v>
      </c>
      <c r="G249" s="254">
        <f>F249-E249</f>
        <v>-64382.559999999998</v>
      </c>
      <c r="J249" s="1"/>
    </row>
    <row r="250" spans="1:11" x14ac:dyDescent="0.35">
      <c r="A250" s="273"/>
      <c r="B250" s="273"/>
      <c r="C250" s="273" t="s">
        <v>1034</v>
      </c>
      <c r="D250" s="254">
        <v>0</v>
      </c>
      <c r="E250" s="254">
        <v>0</v>
      </c>
      <c r="F250" s="254">
        <v>-7000</v>
      </c>
      <c r="G250" s="254">
        <f t="shared" ref="G250" si="178">F250-E250</f>
        <v>-7000</v>
      </c>
      <c r="H250" s="248" t="s">
        <v>1170</v>
      </c>
      <c r="J250" s="1"/>
    </row>
    <row r="251" spans="1:11" s="64" customFormat="1" ht="15.5" x14ac:dyDescent="0.35">
      <c r="A251" s="277" t="s">
        <v>1065</v>
      </c>
      <c r="B251" s="274"/>
      <c r="C251" s="274"/>
      <c r="D251" s="255">
        <f>SUM(D252:D256)</f>
        <v>-50990573</v>
      </c>
      <c r="E251" s="255">
        <f>SUM(E252:E256)</f>
        <v>-108290635.55</v>
      </c>
      <c r="F251" s="255">
        <f>SUM(F252:F256)</f>
        <v>-59835275.480976015</v>
      </c>
      <c r="G251" s="255">
        <f t="shared" ref="G251:G256" si="179">F251-E251</f>
        <v>48455360.069023982</v>
      </c>
      <c r="H251" s="248"/>
      <c r="I251" s="248"/>
      <c r="J251" s="1"/>
    </row>
    <row r="252" spans="1:11" x14ac:dyDescent="0.35">
      <c r="A252" s="273"/>
      <c r="B252" s="273" t="s">
        <v>1037</v>
      </c>
      <c r="C252" s="273"/>
      <c r="D252" s="254">
        <f>D263+D281+D305+D326+D349+D366</f>
        <v>-47138362</v>
      </c>
      <c r="E252" s="254">
        <f>E263+E281+E305+E326+E349+E366</f>
        <v>-59326065.170000002</v>
      </c>
      <c r="F252" s="254">
        <f>F263+F281+F305+F326+F349+F366</f>
        <v>-53071486.030000009</v>
      </c>
      <c r="G252" s="254">
        <f t="shared" si="179"/>
        <v>6254579.1399999931</v>
      </c>
      <c r="J252" s="1">
        <f>E252+59326065.33</f>
        <v>0.15999999642372131</v>
      </c>
      <c r="K252" s="267" t="s">
        <v>1177</v>
      </c>
    </row>
    <row r="253" spans="1:11" x14ac:dyDescent="0.35">
      <c r="A253" s="273"/>
      <c r="B253" s="273" t="s">
        <v>1038</v>
      </c>
      <c r="C253" s="273"/>
      <c r="D253" s="254">
        <v>0</v>
      </c>
      <c r="E253" s="254">
        <v>0</v>
      </c>
      <c r="F253" s="254">
        <f>F288+F330</f>
        <v>-89.27</v>
      </c>
      <c r="G253" s="254">
        <f t="shared" si="179"/>
        <v>-89.27</v>
      </c>
      <c r="J253" s="1"/>
    </row>
    <row r="254" spans="1:11" x14ac:dyDescent="0.35">
      <c r="A254" s="273"/>
      <c r="B254" s="273" t="s">
        <v>1039</v>
      </c>
      <c r="C254" s="273"/>
      <c r="D254" s="254">
        <f>D268+D290+D332+D310+D353</f>
        <v>-503448</v>
      </c>
      <c r="E254" s="254">
        <f>E268+E290+E332+E310+E353</f>
        <v>-1530153.07</v>
      </c>
      <c r="F254" s="254">
        <f>F268+F290+F332+F310+F353</f>
        <v>-515075.17</v>
      </c>
      <c r="G254" s="254">
        <f>F254-E254</f>
        <v>1015077.9000000001</v>
      </c>
      <c r="J254" s="1"/>
    </row>
    <row r="255" spans="1:11" x14ac:dyDescent="0.35">
      <c r="A255" s="273"/>
      <c r="B255" s="273" t="s">
        <v>1040</v>
      </c>
      <c r="C255" s="273"/>
      <c r="D255" s="254">
        <f>D294+D314+D336+D356+D369</f>
        <v>-2634342</v>
      </c>
      <c r="E255" s="254">
        <f>E294+E314+E336+E356+E369</f>
        <v>-46719996.309999995</v>
      </c>
      <c r="F255" s="254">
        <f>F294+F314+F336+F356+F369</f>
        <v>-5431663.6709759999</v>
      </c>
      <c r="G255" s="254">
        <f>F255-E255</f>
        <v>41288332.639023997</v>
      </c>
      <c r="J255" s="1">
        <f>E255+46719995.8</f>
        <v>-0.50999999791383743</v>
      </c>
      <c r="K255" s="267" t="s">
        <v>1177</v>
      </c>
    </row>
    <row r="256" spans="1:11" x14ac:dyDescent="0.35">
      <c r="A256" s="273"/>
      <c r="B256" s="273" t="s">
        <v>1042</v>
      </c>
      <c r="C256" s="273"/>
      <c r="D256" s="254">
        <f>D298+D318+D343+D360+D373</f>
        <v>-714421</v>
      </c>
      <c r="E256" s="254">
        <f>E298+E318+E343+E360+E373</f>
        <v>-714421</v>
      </c>
      <c r="F256" s="254">
        <f>F298+F318+F343+F360+F373</f>
        <v>-816961.34</v>
      </c>
      <c r="G256" s="254">
        <f t="shared" si="179"/>
        <v>-102540.33999999997</v>
      </c>
      <c r="J256" s="1"/>
    </row>
    <row r="257" spans="1:10" x14ac:dyDescent="0.35">
      <c r="A257" s="274"/>
      <c r="B257" s="274" t="s">
        <v>88</v>
      </c>
      <c r="C257" s="274"/>
      <c r="D257" s="255">
        <f>SUM(D259:D262)</f>
        <v>-30714476</v>
      </c>
      <c r="E257" s="255">
        <f>SUM(E258:E262)</f>
        <v>-32514737.100000001</v>
      </c>
      <c r="F257" s="255">
        <f t="shared" ref="F257:G257" si="180">SUM(F258:F262)</f>
        <v>-31769165.09</v>
      </c>
      <c r="G257" s="255">
        <f t="shared" si="180"/>
        <v>745572.00999999931</v>
      </c>
      <c r="J257" s="1"/>
    </row>
    <row r="258" spans="1:10" x14ac:dyDescent="0.35">
      <c r="A258" s="273"/>
      <c r="B258" s="273"/>
      <c r="C258" s="273" t="s">
        <v>1194</v>
      </c>
      <c r="D258" s="254">
        <v>0</v>
      </c>
      <c r="E258" s="254">
        <f>E269</f>
        <v>-872016.05</v>
      </c>
      <c r="F258" s="254">
        <v>0</v>
      </c>
      <c r="G258" s="254">
        <f>F258-E258</f>
        <v>872016.05</v>
      </c>
      <c r="J258" s="1"/>
    </row>
    <row r="259" spans="1:10" x14ac:dyDescent="0.35">
      <c r="A259" s="273"/>
      <c r="B259" s="273"/>
      <c r="C259" s="273" t="s">
        <v>739</v>
      </c>
      <c r="D259" s="254">
        <f>D264+D270</f>
        <v>-53996</v>
      </c>
      <c r="E259" s="254">
        <f t="shared" ref="E259:F259" si="181">E264+E270</f>
        <v>-11885</v>
      </c>
      <c r="F259" s="254">
        <f t="shared" si="181"/>
        <v>-66498.210000000006</v>
      </c>
      <c r="G259" s="254">
        <f t="shared" ref="G259:G262" si="182">F259-E259</f>
        <v>-54613.210000000006</v>
      </c>
      <c r="J259" s="1"/>
    </row>
    <row r="260" spans="1:10" x14ac:dyDescent="0.35">
      <c r="A260" s="273"/>
      <c r="B260" s="273"/>
      <c r="C260" s="273" t="s">
        <v>740</v>
      </c>
      <c r="D260" s="254">
        <f>D265+D271</f>
        <v>-30510</v>
      </c>
      <c r="E260" s="254">
        <f t="shared" ref="E260:F260" si="183">E265+E271</f>
        <v>-37000</v>
      </c>
      <c r="F260" s="254">
        <f t="shared" si="183"/>
        <v>-42068.530000000006</v>
      </c>
      <c r="G260" s="254">
        <f t="shared" si="182"/>
        <v>-5068.5300000000061</v>
      </c>
      <c r="J260" s="1"/>
    </row>
    <row r="261" spans="1:10" x14ac:dyDescent="0.35">
      <c r="A261" s="273"/>
      <c r="B261" s="273"/>
      <c r="C261" s="273" t="s">
        <v>1043</v>
      </c>
      <c r="D261" s="254">
        <f>D266</f>
        <v>-48000</v>
      </c>
      <c r="E261" s="254">
        <f t="shared" ref="E261:F261" si="184">E266</f>
        <v>-148000</v>
      </c>
      <c r="F261" s="254">
        <f t="shared" si="184"/>
        <v>-148000</v>
      </c>
      <c r="G261" s="254">
        <f t="shared" si="182"/>
        <v>0</v>
      </c>
      <c r="J261" s="1"/>
    </row>
    <row r="262" spans="1:10" x14ac:dyDescent="0.35">
      <c r="A262" s="273"/>
      <c r="B262" s="273"/>
      <c r="C262" s="273" t="s">
        <v>1034</v>
      </c>
      <c r="D262" s="254">
        <f>D267+D272</f>
        <v>-30581970</v>
      </c>
      <c r="E262" s="254">
        <f>E267+E272</f>
        <v>-31445836.050000001</v>
      </c>
      <c r="F262" s="254">
        <f>F267+F272</f>
        <v>-31512598.350000001</v>
      </c>
      <c r="G262" s="254">
        <f t="shared" si="182"/>
        <v>-66762.300000000745</v>
      </c>
      <c r="J262" s="1"/>
    </row>
    <row r="263" spans="1:10" x14ac:dyDescent="0.35">
      <c r="A263" s="274"/>
      <c r="B263" s="274"/>
      <c r="C263" s="274" t="s">
        <v>1037</v>
      </c>
      <c r="D263" s="255">
        <f>SUM(D264:D267)</f>
        <v>-30452618</v>
      </c>
      <c r="E263" s="255">
        <f>SUM(E264:E267)</f>
        <v>-31642721.050000001</v>
      </c>
      <c r="F263" s="255">
        <f>SUM(F264:F267)</f>
        <v>-31552334.850000001</v>
      </c>
      <c r="G263" s="255">
        <f>SUM(G264:G267)</f>
        <v>90386.199999998949</v>
      </c>
      <c r="J263" s="1"/>
    </row>
    <row r="264" spans="1:10" x14ac:dyDescent="0.35">
      <c r="A264" s="273"/>
      <c r="B264" s="273"/>
      <c r="C264" s="273" t="s">
        <v>739</v>
      </c>
      <c r="D264" s="254">
        <v>0</v>
      </c>
      <c r="E264" s="254">
        <v>-11885</v>
      </c>
      <c r="F264" s="254">
        <v>-6089.52</v>
      </c>
      <c r="G264" s="254">
        <f>F264-E264</f>
        <v>5795.48</v>
      </c>
      <c r="I264" s="248">
        <f>D264-E264</f>
        <v>11885</v>
      </c>
      <c r="J264" s="1"/>
    </row>
    <row r="265" spans="1:10" x14ac:dyDescent="0.35">
      <c r="A265" s="273"/>
      <c r="B265" s="273"/>
      <c r="C265" s="273" t="s">
        <v>740</v>
      </c>
      <c r="D265" s="254">
        <v>0</v>
      </c>
      <c r="E265" s="254">
        <v>-37000</v>
      </c>
      <c r="F265" s="254">
        <v>-37253.410000000003</v>
      </c>
      <c r="G265" s="254">
        <f>F265-E265</f>
        <v>-253.41000000000349</v>
      </c>
      <c r="I265" s="248">
        <f t="shared" ref="I265:I267" si="185">D265-E265</f>
        <v>37000</v>
      </c>
      <c r="J265" s="1"/>
    </row>
    <row r="266" spans="1:10" x14ac:dyDescent="0.35">
      <c r="A266" s="273"/>
      <c r="B266" s="273"/>
      <c r="C266" s="273" t="s">
        <v>1043</v>
      </c>
      <c r="D266" s="254">
        <v>-48000</v>
      </c>
      <c r="E266" s="254">
        <f>D266-100000</f>
        <v>-148000</v>
      </c>
      <c r="F266" s="254">
        <v>-148000</v>
      </c>
      <c r="G266" s="254">
        <f t="shared" ref="G266" si="186">F266-E266</f>
        <v>0</v>
      </c>
      <c r="H266" s="248" t="s">
        <v>1046</v>
      </c>
      <c r="I266" s="248">
        <f t="shared" si="185"/>
        <v>100000</v>
      </c>
      <c r="J266" s="1"/>
    </row>
    <row r="267" spans="1:10" x14ac:dyDescent="0.35">
      <c r="A267" s="273"/>
      <c r="B267" s="273"/>
      <c r="C267" s="273" t="s">
        <v>1034</v>
      </c>
      <c r="D267" s="254">
        <f>-30452618+48000</f>
        <v>-30404618</v>
      </c>
      <c r="E267" s="254">
        <f>D267-1041218.05</f>
        <v>-31445836.050000001</v>
      </c>
      <c r="F267" s="254">
        <v>-31360991.920000002</v>
      </c>
      <c r="G267" s="254">
        <f t="shared" ref="G267" si="187">F267-E267</f>
        <v>84844.129999998957</v>
      </c>
      <c r="I267" s="248">
        <f t="shared" si="185"/>
        <v>1041218.0500000007</v>
      </c>
      <c r="J267" s="1"/>
    </row>
    <row r="268" spans="1:10" x14ac:dyDescent="0.35">
      <c r="A268" s="274"/>
      <c r="B268" s="274"/>
      <c r="C268" s="274" t="s">
        <v>1039</v>
      </c>
      <c r="D268" s="255">
        <f>SUM(D270:D272)</f>
        <v>-261858</v>
      </c>
      <c r="E268" s="255">
        <f>SUM(E269:E272)</f>
        <v>-872016.05</v>
      </c>
      <c r="F268" s="255">
        <f t="shared" ref="F268:G268" si="188">SUM(F269:F272)</f>
        <v>-216830.24</v>
      </c>
      <c r="G268" s="255">
        <f t="shared" si="188"/>
        <v>655185.81000000006</v>
      </c>
      <c r="I268" s="248">
        <f>D268-E268</f>
        <v>610158.05000000005</v>
      </c>
      <c r="J268" s="1"/>
    </row>
    <row r="269" spans="1:10" x14ac:dyDescent="0.35">
      <c r="A269" s="273"/>
      <c r="B269" s="273"/>
      <c r="C269" s="273" t="s">
        <v>1194</v>
      </c>
      <c r="D269" s="254">
        <v>0</v>
      </c>
      <c r="E269" s="254">
        <f>-872016.55+0.5</f>
        <v>-872016.05</v>
      </c>
      <c r="F269" s="254">
        <v>0</v>
      </c>
      <c r="G269" s="254">
        <f>F269-E269</f>
        <v>872016.05</v>
      </c>
      <c r="J269" s="1"/>
    </row>
    <row r="270" spans="1:10" x14ac:dyDescent="0.35">
      <c r="A270" s="273"/>
      <c r="B270" s="273"/>
      <c r="C270" s="273" t="s">
        <v>739</v>
      </c>
      <c r="D270" s="254">
        <v>-53996</v>
      </c>
      <c r="E270" s="254">
        <f>D270+53996</f>
        <v>0</v>
      </c>
      <c r="F270" s="254">
        <v>-60408.69</v>
      </c>
      <c r="G270" s="254">
        <f t="shared" ref="G270:G271" si="189">F270-E270</f>
        <v>-60408.69</v>
      </c>
      <c r="J270" s="1"/>
    </row>
    <row r="271" spans="1:10" x14ac:dyDescent="0.35">
      <c r="A271" s="273"/>
      <c r="B271" s="273"/>
      <c r="C271" s="273" t="s">
        <v>740</v>
      </c>
      <c r="D271" s="254">
        <v>-30510</v>
      </c>
      <c r="E271" s="254">
        <f>D271+30510</f>
        <v>0</v>
      </c>
      <c r="F271" s="254">
        <v>-4815.12</v>
      </c>
      <c r="G271" s="254">
        <f t="shared" si="189"/>
        <v>-4815.12</v>
      </c>
      <c r="J271" s="1"/>
    </row>
    <row r="272" spans="1:10" x14ac:dyDescent="0.35">
      <c r="A272" s="273"/>
      <c r="B272" s="273"/>
      <c r="C272" s="273" t="s">
        <v>1034</v>
      </c>
      <c r="D272" s="254">
        <v>-177352</v>
      </c>
      <c r="E272" s="254">
        <f>D272+177352</f>
        <v>0</v>
      </c>
      <c r="F272" s="254">
        <v>-151606.43</v>
      </c>
      <c r="G272" s="254">
        <f t="shared" ref="G272" si="190">F272-E272</f>
        <v>-151606.43</v>
      </c>
      <c r="J272" s="1"/>
    </row>
    <row r="273" spans="1:10" x14ac:dyDescent="0.35">
      <c r="A273" s="274"/>
      <c r="B273" s="274" t="s">
        <v>1066</v>
      </c>
      <c r="C273" s="274"/>
      <c r="D273" s="255">
        <f>SUM(D275:D280)</f>
        <v>-8049962</v>
      </c>
      <c r="E273" s="255">
        <f>SUM(E274:E280)</f>
        <v>-19635630.390000001</v>
      </c>
      <c r="F273" s="255">
        <f t="shared" ref="F273:G273" si="191">SUM(F274:F280)</f>
        <v>-13485569.469999999</v>
      </c>
      <c r="G273" s="255">
        <f t="shared" si="191"/>
        <v>6150060.9200000009</v>
      </c>
      <c r="J273" s="1"/>
    </row>
    <row r="274" spans="1:10" x14ac:dyDescent="0.35">
      <c r="A274" s="273"/>
      <c r="B274" s="273"/>
      <c r="C274" s="273" t="s">
        <v>1194</v>
      </c>
      <c r="D274" s="254">
        <f>D295+D291</f>
        <v>0</v>
      </c>
      <c r="E274" s="254">
        <f>E295+E291</f>
        <v>-614277.16999999993</v>
      </c>
      <c r="F274" s="254">
        <f>F295+F291</f>
        <v>0</v>
      </c>
      <c r="G274" s="254">
        <f>F274-E274</f>
        <v>614277.16999999993</v>
      </c>
      <c r="J274" s="1"/>
    </row>
    <row r="275" spans="1:10" x14ac:dyDescent="0.35">
      <c r="A275" s="273"/>
      <c r="B275" s="273"/>
      <c r="C275" s="273" t="s">
        <v>739</v>
      </c>
      <c r="D275" s="254">
        <f>D282+D292</f>
        <v>-2570699</v>
      </c>
      <c r="E275" s="254">
        <f>E282+E292</f>
        <v>-2799359</v>
      </c>
      <c r="F275" s="254">
        <f>F282+F292</f>
        <v>-2741045.37</v>
      </c>
      <c r="G275" s="254">
        <f t="shared" ref="G275:G280" si="192">F275-E275</f>
        <v>58313.629999999888</v>
      </c>
      <c r="J275" s="1"/>
    </row>
    <row r="276" spans="1:10" x14ac:dyDescent="0.35">
      <c r="A276" s="273"/>
      <c r="B276" s="273"/>
      <c r="C276" s="273" t="s">
        <v>740</v>
      </c>
      <c r="D276" s="254">
        <f>D283+D293+D296</f>
        <v>-761370</v>
      </c>
      <c r="E276" s="254">
        <f>E283+E293+E296</f>
        <v>-1134863</v>
      </c>
      <c r="F276" s="254">
        <f>F283+F293+F296</f>
        <v>-1240649.19</v>
      </c>
      <c r="G276" s="254">
        <f t="shared" si="192"/>
        <v>-105786.18999999994</v>
      </c>
      <c r="J276" s="1"/>
    </row>
    <row r="277" spans="1:10" x14ac:dyDescent="0.35">
      <c r="A277" s="273"/>
      <c r="B277" s="273"/>
      <c r="C277" s="273" t="s">
        <v>1033</v>
      </c>
      <c r="D277" s="254">
        <f>D284</f>
        <v>-3500</v>
      </c>
      <c r="E277" s="254">
        <f t="shared" ref="E277:F277" si="193">E284</f>
        <v>-19550</v>
      </c>
      <c r="F277" s="254">
        <f t="shared" si="193"/>
        <v>10021.25</v>
      </c>
      <c r="G277" s="254">
        <f t="shared" si="192"/>
        <v>29571.25</v>
      </c>
      <c r="J277" s="1"/>
    </row>
    <row r="278" spans="1:10" x14ac:dyDescent="0.35">
      <c r="A278" s="273"/>
      <c r="B278" s="273"/>
      <c r="C278" s="273" t="s">
        <v>1043</v>
      </c>
      <c r="D278" s="254">
        <f>D285</f>
        <v>-3300205</v>
      </c>
      <c r="E278" s="254">
        <f t="shared" ref="E278:F278" si="194">E285</f>
        <v>-6214476.3200000003</v>
      </c>
      <c r="F278" s="254">
        <f t="shared" si="194"/>
        <v>-3924621.61</v>
      </c>
      <c r="G278" s="254">
        <f t="shared" si="192"/>
        <v>2289854.7100000004</v>
      </c>
      <c r="J278" s="1"/>
    </row>
    <row r="279" spans="1:10" x14ac:dyDescent="0.35">
      <c r="A279" s="273"/>
      <c r="B279" s="273"/>
      <c r="C279" s="273" t="s">
        <v>1034</v>
      </c>
      <c r="D279" s="254">
        <f>D286</f>
        <v>-1392481</v>
      </c>
      <c r="E279" s="254">
        <f t="shared" ref="E279" si="195">E286</f>
        <v>-8831397.9000000004</v>
      </c>
      <c r="F279" s="254">
        <f>F286+F297</f>
        <v>-5541598.2699999996</v>
      </c>
      <c r="G279" s="254">
        <f t="shared" si="192"/>
        <v>3289799.6300000008</v>
      </c>
      <c r="J279" s="1"/>
    </row>
    <row r="280" spans="1:10" x14ac:dyDescent="0.35">
      <c r="A280" s="273"/>
      <c r="B280" s="273"/>
      <c r="C280" s="273" t="s">
        <v>1035</v>
      </c>
      <c r="D280" s="254">
        <f>D298+D289+D287</f>
        <v>-21707</v>
      </c>
      <c r="E280" s="254">
        <f>E298+E289+E287</f>
        <v>-21707</v>
      </c>
      <c r="F280" s="254">
        <f>F298+F289+F287</f>
        <v>-47676.28</v>
      </c>
      <c r="G280" s="254">
        <f t="shared" si="192"/>
        <v>-25969.279999999999</v>
      </c>
      <c r="J280" s="1"/>
    </row>
    <row r="281" spans="1:10" x14ac:dyDescent="0.35">
      <c r="A281" s="274"/>
      <c r="B281" s="274"/>
      <c r="C281" s="274" t="s">
        <v>1037</v>
      </c>
      <c r="D281" s="255">
        <f>SUM(D282:D287)</f>
        <v>-7862370</v>
      </c>
      <c r="E281" s="255">
        <f t="shared" ref="E281:F281" si="196">SUM(E282:E287)</f>
        <v>-18999646.219999999</v>
      </c>
      <c r="F281" s="255">
        <f t="shared" si="196"/>
        <v>-13146203.42</v>
      </c>
      <c r="G281" s="255">
        <f>F281-E281</f>
        <v>5853442.7999999989</v>
      </c>
      <c r="J281" s="1"/>
    </row>
    <row r="282" spans="1:10" x14ac:dyDescent="0.35">
      <c r="A282" s="273"/>
      <c r="B282" s="273"/>
      <c r="C282" s="273" t="s">
        <v>739</v>
      </c>
      <c r="D282" s="254">
        <v>-2417634</v>
      </c>
      <c r="E282" s="254">
        <f>D282-381725</f>
        <v>-2799359</v>
      </c>
      <c r="F282" s="254">
        <v>-2669451.94</v>
      </c>
      <c r="G282" s="254">
        <f t="shared" ref="G282:G287" si="197">F282-E282</f>
        <v>129907.06000000006</v>
      </c>
      <c r="I282" s="248">
        <f>D282-E282</f>
        <v>381725</v>
      </c>
      <c r="J282" s="1"/>
    </row>
    <row r="283" spans="1:10" x14ac:dyDescent="0.35">
      <c r="A283" s="273"/>
      <c r="B283" s="273"/>
      <c r="C283" s="273" t="s">
        <v>740</v>
      </c>
      <c r="D283" s="254">
        <v>-748550</v>
      </c>
      <c r="E283" s="254">
        <f>D283-385460-853</f>
        <v>-1134863</v>
      </c>
      <c r="F283" s="254">
        <v>-1033002.85</v>
      </c>
      <c r="G283" s="254">
        <f t="shared" si="197"/>
        <v>101860.15000000002</v>
      </c>
      <c r="I283" s="248">
        <f t="shared" ref="I283:I287" si="198">D283-E283</f>
        <v>386313</v>
      </c>
      <c r="J283" s="1" t="s">
        <v>1178</v>
      </c>
    </row>
    <row r="284" spans="1:10" x14ac:dyDescent="0.35">
      <c r="A284" s="273"/>
      <c r="B284" s="273"/>
      <c r="C284" s="273" t="s">
        <v>1033</v>
      </c>
      <c r="D284" s="254">
        <v>-3500</v>
      </c>
      <c r="E284" s="254">
        <f>D284-16050</f>
        <v>-19550</v>
      </c>
      <c r="F284" s="254">
        <v>10021.25</v>
      </c>
      <c r="G284" s="254">
        <f t="shared" ref="G284" si="199">F284-E284</f>
        <v>29571.25</v>
      </c>
      <c r="I284" s="248">
        <f t="shared" si="198"/>
        <v>16050</v>
      </c>
      <c r="J284" s="1"/>
    </row>
    <row r="285" spans="1:10" x14ac:dyDescent="0.35">
      <c r="A285" s="273"/>
      <c r="B285" s="273"/>
      <c r="C285" s="273" t="s">
        <v>1043</v>
      </c>
      <c r="D285" s="254">
        <v>-3300205</v>
      </c>
      <c r="E285" s="254">
        <f>D285-2914271.32</f>
        <v>-6214476.3200000003</v>
      </c>
      <c r="F285" s="254">
        <v>-3924621.61</v>
      </c>
      <c r="G285" s="254">
        <f t="shared" ref="G285" si="200">F285-E285</f>
        <v>2289854.7100000004</v>
      </c>
      <c r="H285" s="248" t="s">
        <v>1071</v>
      </c>
      <c r="I285" s="248">
        <f t="shared" si="198"/>
        <v>2914271.3200000003</v>
      </c>
      <c r="J285" s="1"/>
    </row>
    <row r="286" spans="1:10" x14ac:dyDescent="0.35">
      <c r="A286" s="273"/>
      <c r="B286" s="273"/>
      <c r="C286" s="273" t="s">
        <v>1034</v>
      </c>
      <c r="D286" s="254">
        <f>-4692686+3300205</f>
        <v>-1392481</v>
      </c>
      <c r="E286" s="254">
        <f>D286-7438916.9</f>
        <v>-8831397.9000000004</v>
      </c>
      <c r="F286" s="254">
        <f>-5526598.27</f>
        <v>-5526598.2699999996</v>
      </c>
      <c r="G286" s="254">
        <f t="shared" si="197"/>
        <v>3304799.6300000008</v>
      </c>
      <c r="I286" s="248">
        <f t="shared" si="198"/>
        <v>7438916.9000000004</v>
      </c>
      <c r="J286" s="1" t="s">
        <v>1167</v>
      </c>
    </row>
    <row r="287" spans="1:10" x14ac:dyDescent="0.35">
      <c r="A287" s="273"/>
      <c r="B287" s="273"/>
      <c r="C287" s="273" t="s">
        <v>742</v>
      </c>
      <c r="D287" s="254">
        <v>0</v>
      </c>
      <c r="E287" s="254">
        <v>0</v>
      </c>
      <c r="F287" s="254">
        <v>-2550</v>
      </c>
      <c r="G287" s="254">
        <f t="shared" si="197"/>
        <v>-2550</v>
      </c>
      <c r="I287" s="248">
        <f t="shared" si="198"/>
        <v>0</v>
      </c>
      <c r="J287" s="1"/>
    </row>
    <row r="288" spans="1:10" s="64" customFormat="1" x14ac:dyDescent="0.35">
      <c r="A288" s="274"/>
      <c r="B288" s="274"/>
      <c r="C288" s="274" t="s">
        <v>1038</v>
      </c>
      <c r="D288" s="255">
        <f>D289</f>
        <v>0</v>
      </c>
      <c r="E288" s="255">
        <f>E289</f>
        <v>0</v>
      </c>
      <c r="F288" s="255">
        <f>F289</f>
        <v>2.04</v>
      </c>
      <c r="G288" s="255">
        <f>F288-E288</f>
        <v>2.04</v>
      </c>
      <c r="H288" s="248"/>
      <c r="I288" s="248"/>
      <c r="J288" s="1"/>
    </row>
    <row r="289" spans="1:17" x14ac:dyDescent="0.35">
      <c r="A289" s="273"/>
      <c r="B289" s="273"/>
      <c r="C289" s="273" t="s">
        <v>742</v>
      </c>
      <c r="D289" s="254">
        <v>0</v>
      </c>
      <c r="E289" s="254">
        <f t="shared" ref="E289" si="201">D289</f>
        <v>0</v>
      </c>
      <c r="F289" s="254">
        <v>2.04</v>
      </c>
      <c r="G289" s="254">
        <f t="shared" ref="G289" si="202">F289-E289</f>
        <v>2.04</v>
      </c>
      <c r="J289" s="1"/>
    </row>
    <row r="290" spans="1:17" x14ac:dyDescent="0.35">
      <c r="A290" s="274"/>
      <c r="B290" s="274"/>
      <c r="C290" s="274" t="s">
        <v>1039</v>
      </c>
      <c r="D290" s="255">
        <f>SUM(D292:D293)</f>
        <v>-164385</v>
      </c>
      <c r="E290" s="255">
        <f>SUM(E291:E293)</f>
        <v>-393031.43</v>
      </c>
      <c r="F290" s="255">
        <f t="shared" ref="F290:G290" si="203">SUM(F291:F293)</f>
        <v>-195917.82</v>
      </c>
      <c r="G290" s="255">
        <f t="shared" si="203"/>
        <v>197113.61</v>
      </c>
      <c r="H290" s="255">
        <f t="shared" ref="H290:Q290" si="204">SUM(H291:H293)</f>
        <v>0</v>
      </c>
      <c r="I290" s="255">
        <f t="shared" si="204"/>
        <v>0</v>
      </c>
      <c r="J290" s="255">
        <f t="shared" si="204"/>
        <v>0</v>
      </c>
      <c r="K290" s="255">
        <f t="shared" si="204"/>
        <v>0</v>
      </c>
      <c r="L290" s="255">
        <f t="shared" si="204"/>
        <v>0</v>
      </c>
      <c r="M290" s="255">
        <f t="shared" si="204"/>
        <v>0</v>
      </c>
      <c r="N290" s="255">
        <f t="shared" si="204"/>
        <v>0</v>
      </c>
      <c r="O290" s="255">
        <f t="shared" si="204"/>
        <v>0</v>
      </c>
      <c r="P290" s="255">
        <f t="shared" si="204"/>
        <v>0</v>
      </c>
      <c r="Q290" s="255">
        <f t="shared" si="204"/>
        <v>0</v>
      </c>
    </row>
    <row r="291" spans="1:17" x14ac:dyDescent="0.35">
      <c r="A291" s="273"/>
      <c r="B291" s="273"/>
      <c r="C291" s="273" t="s">
        <v>1194</v>
      </c>
      <c r="D291" s="254">
        <v>0</v>
      </c>
      <c r="E291" s="254">
        <v>-393031.43</v>
      </c>
      <c r="F291" s="254">
        <v>0</v>
      </c>
      <c r="G291" s="254">
        <f>F291-E291</f>
        <v>393031.43</v>
      </c>
      <c r="J291" s="1"/>
    </row>
    <row r="292" spans="1:17" x14ac:dyDescent="0.35">
      <c r="A292" s="273"/>
      <c r="B292" s="273"/>
      <c r="C292" s="273" t="s">
        <v>739</v>
      </c>
      <c r="D292" s="254">
        <v>-153065</v>
      </c>
      <c r="E292" s="254">
        <f>D292+153065</f>
        <v>0</v>
      </c>
      <c r="F292" s="254">
        <v>-71593.429999999993</v>
      </c>
      <c r="G292" s="254">
        <f t="shared" ref="G292:G293" si="205">F292-E292</f>
        <v>-71593.429999999993</v>
      </c>
      <c r="J292" s="1"/>
    </row>
    <row r="293" spans="1:17" x14ac:dyDescent="0.35">
      <c r="A293" s="273"/>
      <c r="B293" s="273"/>
      <c r="C293" s="273" t="s">
        <v>740</v>
      </c>
      <c r="D293" s="254">
        <v>-11320</v>
      </c>
      <c r="E293" s="254">
        <f>D293+11320</f>
        <v>0</v>
      </c>
      <c r="F293" s="254">
        <v>-124324.39</v>
      </c>
      <c r="G293" s="254">
        <f t="shared" si="205"/>
        <v>-124324.39</v>
      </c>
      <c r="J293" s="1"/>
    </row>
    <row r="294" spans="1:17" x14ac:dyDescent="0.35">
      <c r="A294" s="274"/>
      <c r="B294" s="274"/>
      <c r="C294" s="274" t="s">
        <v>1040</v>
      </c>
      <c r="D294" s="255">
        <f>SUM(D296:D297)</f>
        <v>-1500</v>
      </c>
      <c r="E294" s="255">
        <f>SUM(E295:E297)</f>
        <v>-221245.74</v>
      </c>
      <c r="F294" s="255">
        <f t="shared" ref="F294:Q294" si="206">SUM(F295:F297)</f>
        <v>-98321.95</v>
      </c>
      <c r="G294" s="255">
        <f t="shared" si="206"/>
        <v>122923.78999999998</v>
      </c>
      <c r="H294" s="255">
        <f t="shared" si="206"/>
        <v>0</v>
      </c>
      <c r="I294" s="255">
        <f t="shared" si="206"/>
        <v>0</v>
      </c>
      <c r="J294" s="255">
        <f t="shared" si="206"/>
        <v>0</v>
      </c>
      <c r="K294" s="255">
        <f t="shared" si="206"/>
        <v>0</v>
      </c>
      <c r="L294" s="255">
        <f t="shared" si="206"/>
        <v>0</v>
      </c>
      <c r="M294" s="255">
        <f t="shared" si="206"/>
        <v>0</v>
      </c>
      <c r="N294" s="255">
        <f t="shared" si="206"/>
        <v>0</v>
      </c>
      <c r="O294" s="255">
        <f t="shared" si="206"/>
        <v>0</v>
      </c>
      <c r="P294" s="255">
        <f t="shared" si="206"/>
        <v>0</v>
      </c>
      <c r="Q294" s="255">
        <f t="shared" si="206"/>
        <v>0</v>
      </c>
    </row>
    <row r="295" spans="1:17" x14ac:dyDescent="0.35">
      <c r="A295" s="273"/>
      <c r="B295" s="273"/>
      <c r="C295" s="273" t="s">
        <v>1194</v>
      </c>
      <c r="D295" s="254">
        <v>0</v>
      </c>
      <c r="E295" s="254">
        <v>-221245.74</v>
      </c>
      <c r="F295" s="254">
        <v>0</v>
      </c>
      <c r="G295" s="254">
        <f>F295-E295</f>
        <v>221245.74</v>
      </c>
      <c r="J295" s="1"/>
    </row>
    <row r="296" spans="1:17" x14ac:dyDescent="0.35">
      <c r="A296" s="274"/>
      <c r="B296" s="274"/>
      <c r="C296" s="273" t="s">
        <v>740</v>
      </c>
      <c r="D296" s="254">
        <v>-1500</v>
      </c>
      <c r="E296" s="254">
        <f>D296+1500</f>
        <v>0</v>
      </c>
      <c r="F296" s="254">
        <v>-83321.95</v>
      </c>
      <c r="G296" s="254">
        <f t="shared" ref="G296:G297" si="207">F296-E296</f>
        <v>-83321.95</v>
      </c>
      <c r="J296" s="1"/>
    </row>
    <row r="297" spans="1:17" x14ac:dyDescent="0.35">
      <c r="A297" s="274"/>
      <c r="B297" s="274"/>
      <c r="C297" s="273" t="s">
        <v>1034</v>
      </c>
      <c r="D297" s="254">
        <v>0</v>
      </c>
      <c r="E297" s="254">
        <v>0</v>
      </c>
      <c r="F297" s="254">
        <v>-15000</v>
      </c>
      <c r="G297" s="254">
        <f t="shared" si="207"/>
        <v>-15000</v>
      </c>
      <c r="J297" s="1"/>
    </row>
    <row r="298" spans="1:17" x14ac:dyDescent="0.35">
      <c r="A298" s="274"/>
      <c r="B298" s="274"/>
      <c r="C298" s="274" t="s">
        <v>1042</v>
      </c>
      <c r="D298" s="255">
        <v>-21707</v>
      </c>
      <c r="E298" s="255">
        <f>D298</f>
        <v>-21707</v>
      </c>
      <c r="F298" s="255">
        <v>-45128.32</v>
      </c>
      <c r="G298" s="255">
        <f>F298-E298</f>
        <v>-23421.32</v>
      </c>
      <c r="J298" s="1"/>
    </row>
    <row r="299" spans="1:17" x14ac:dyDescent="0.35">
      <c r="A299" s="274"/>
      <c r="B299" s="274" t="s">
        <v>1067</v>
      </c>
      <c r="C299" s="274"/>
      <c r="D299" s="255">
        <f>SUM(D301:D304)</f>
        <v>-1127663</v>
      </c>
      <c r="E299" s="255">
        <f>SUM(E300:E304)</f>
        <v>-1333751.08</v>
      </c>
      <c r="F299" s="255">
        <f t="shared" ref="F299:Q299" si="208">SUM(F300:F304)</f>
        <v>-1250532.7</v>
      </c>
      <c r="G299" s="255">
        <f t="shared" si="208"/>
        <v>83218.380000000048</v>
      </c>
      <c r="H299" s="255">
        <f t="shared" si="208"/>
        <v>0</v>
      </c>
      <c r="I299" s="255">
        <f t="shared" si="208"/>
        <v>0</v>
      </c>
      <c r="J299" s="255">
        <f t="shared" si="208"/>
        <v>0</v>
      </c>
      <c r="K299" s="255">
        <f t="shared" si="208"/>
        <v>0</v>
      </c>
      <c r="L299" s="255">
        <f t="shared" si="208"/>
        <v>0</v>
      </c>
      <c r="M299" s="255">
        <f t="shared" si="208"/>
        <v>0</v>
      </c>
      <c r="N299" s="255">
        <f t="shared" si="208"/>
        <v>0</v>
      </c>
      <c r="O299" s="255">
        <f t="shared" si="208"/>
        <v>0</v>
      </c>
      <c r="P299" s="255">
        <f t="shared" si="208"/>
        <v>0</v>
      </c>
      <c r="Q299" s="255">
        <f t="shared" si="208"/>
        <v>0</v>
      </c>
    </row>
    <row r="300" spans="1:17" x14ac:dyDescent="0.35">
      <c r="A300" s="273"/>
      <c r="B300" s="273"/>
      <c r="C300" s="273" t="s">
        <v>1194</v>
      </c>
      <c r="D300" s="254">
        <f>D315+D311</f>
        <v>0</v>
      </c>
      <c r="E300" s="254">
        <f>E315+E311</f>
        <v>-240628.19</v>
      </c>
      <c r="F300" s="254">
        <f>F315+F311</f>
        <v>0</v>
      </c>
      <c r="G300" s="254">
        <f>F300-E300</f>
        <v>240628.19</v>
      </c>
      <c r="J300" s="1"/>
    </row>
    <row r="301" spans="1:17" x14ac:dyDescent="0.35">
      <c r="A301" s="273"/>
      <c r="B301" s="273"/>
      <c r="C301" s="273" t="s">
        <v>739</v>
      </c>
      <c r="D301" s="254">
        <f>D306+D316+D312</f>
        <v>-802386</v>
      </c>
      <c r="E301" s="254">
        <f>E306+E316</f>
        <v>-795168</v>
      </c>
      <c r="F301" s="254">
        <f>F306+F316+F312</f>
        <v>-874090.21</v>
      </c>
      <c r="G301" s="254">
        <f t="shared" ref="G301:G304" si="209">F301-E301</f>
        <v>-78922.209999999963</v>
      </c>
      <c r="J301" s="1"/>
    </row>
    <row r="302" spans="1:17" x14ac:dyDescent="0.35">
      <c r="A302" s="273"/>
      <c r="B302" s="273"/>
      <c r="C302" s="273" t="s">
        <v>740</v>
      </c>
      <c r="D302" s="254">
        <f>D307+D317+D313</f>
        <v>-311668</v>
      </c>
      <c r="E302" s="254">
        <f>E307+E317+E313</f>
        <v>-284345.89</v>
      </c>
      <c r="F302" s="254">
        <f>F307+F317+F313</f>
        <v>-361881.7</v>
      </c>
      <c r="G302" s="254">
        <f t="shared" si="209"/>
        <v>-77535.81</v>
      </c>
      <c r="J302" s="1"/>
    </row>
    <row r="303" spans="1:17" x14ac:dyDescent="0.35">
      <c r="A303" s="273"/>
      <c r="B303" s="273"/>
      <c r="C303" s="273" t="s">
        <v>1033</v>
      </c>
      <c r="D303" s="254">
        <f t="shared" ref="D303:E303" si="210">D308</f>
        <v>0</v>
      </c>
      <c r="E303" s="254">
        <f t="shared" si="210"/>
        <v>0</v>
      </c>
      <c r="F303" s="254">
        <f>F308</f>
        <v>-500</v>
      </c>
      <c r="G303" s="254">
        <f t="shared" si="209"/>
        <v>-500</v>
      </c>
      <c r="J303" s="1"/>
    </row>
    <row r="304" spans="1:17" x14ac:dyDescent="0.35">
      <c r="A304" s="273"/>
      <c r="B304" s="273"/>
      <c r="C304" s="273" t="s">
        <v>1035</v>
      </c>
      <c r="D304" s="254">
        <f>D318+D309</f>
        <v>-13609</v>
      </c>
      <c r="E304" s="254">
        <f>E318+E309</f>
        <v>-13609</v>
      </c>
      <c r="F304" s="254">
        <f>F318+F309</f>
        <v>-14060.789999999999</v>
      </c>
      <c r="G304" s="254">
        <f t="shared" si="209"/>
        <v>-451.78999999999905</v>
      </c>
      <c r="J304" s="1"/>
    </row>
    <row r="305" spans="1:17" x14ac:dyDescent="0.35">
      <c r="A305" s="274"/>
      <c r="B305" s="274"/>
      <c r="C305" s="274" t="s">
        <v>1037</v>
      </c>
      <c r="D305" s="255">
        <f>SUM(D306:D307)</f>
        <v>-1050054</v>
      </c>
      <c r="E305" s="255">
        <f>SUM(E306:E307)</f>
        <v>-1079513.8900000001</v>
      </c>
      <c r="F305" s="255">
        <f>SUM(F306:F309)</f>
        <v>-1086416.0599999998</v>
      </c>
      <c r="G305" s="255">
        <f>F305-E305</f>
        <v>-6902.1699999996927</v>
      </c>
      <c r="J305" s="1"/>
    </row>
    <row r="306" spans="1:17" x14ac:dyDescent="0.35">
      <c r="A306" s="273"/>
      <c r="B306" s="273"/>
      <c r="C306" s="273" t="s">
        <v>739</v>
      </c>
      <c r="D306" s="254">
        <v>-771386</v>
      </c>
      <c r="E306" s="254">
        <f>D306-23782</f>
        <v>-795168</v>
      </c>
      <c r="F306" s="254">
        <v>-790344.99</v>
      </c>
      <c r="G306" s="254">
        <f t="shared" ref="G306:G309" si="211">F306-E306</f>
        <v>4823.0100000000093</v>
      </c>
      <c r="I306" s="248">
        <f>D306-E306</f>
        <v>23782</v>
      </c>
      <c r="J306" s="1"/>
    </row>
    <row r="307" spans="1:17" x14ac:dyDescent="0.35">
      <c r="A307" s="273"/>
      <c r="B307" s="273"/>
      <c r="C307" s="273" t="s">
        <v>740</v>
      </c>
      <c r="D307" s="254">
        <v>-278668</v>
      </c>
      <c r="E307" s="254">
        <f>D307-5678.39+0.5</f>
        <v>-284345.89</v>
      </c>
      <c r="F307" s="254">
        <f>-265651.04-29467.89</f>
        <v>-295118.93</v>
      </c>
      <c r="G307" s="254">
        <f t="shared" si="211"/>
        <v>-10773.039999999979</v>
      </c>
      <c r="H307" s="248">
        <v>29467.89</v>
      </c>
      <c r="I307" s="248">
        <f>D307-E307</f>
        <v>5677.890000000014</v>
      </c>
      <c r="J307" s="1" t="s">
        <v>1172</v>
      </c>
    </row>
    <row r="308" spans="1:17" x14ac:dyDescent="0.35">
      <c r="A308" s="273"/>
      <c r="B308" s="273"/>
      <c r="C308" s="273" t="s">
        <v>1033</v>
      </c>
      <c r="D308" s="254">
        <v>0</v>
      </c>
      <c r="E308" s="254">
        <v>0</v>
      </c>
      <c r="F308" s="254">
        <v>-500</v>
      </c>
      <c r="G308" s="254">
        <f t="shared" si="211"/>
        <v>-500</v>
      </c>
      <c r="J308" s="1"/>
    </row>
    <row r="309" spans="1:17" x14ac:dyDescent="0.35">
      <c r="A309" s="273"/>
      <c r="B309" s="273"/>
      <c r="C309" s="273" t="s">
        <v>742</v>
      </c>
      <c r="D309" s="254">
        <v>0</v>
      </c>
      <c r="E309" s="254">
        <v>0</v>
      </c>
      <c r="F309" s="254">
        <v>-452.14</v>
      </c>
      <c r="G309" s="254">
        <f t="shared" si="211"/>
        <v>-452.14</v>
      </c>
      <c r="J309" s="1"/>
    </row>
    <row r="310" spans="1:17" x14ac:dyDescent="0.35">
      <c r="A310" s="274"/>
      <c r="B310" s="274"/>
      <c r="C310" s="274" t="s">
        <v>1039</v>
      </c>
      <c r="D310" s="255">
        <f>SUM(D312:D313)</f>
        <v>0</v>
      </c>
      <c r="E310" s="255">
        <f>SUM(E311:E313)</f>
        <v>-29800</v>
      </c>
      <c r="F310" s="255">
        <f t="shared" ref="F310:Q310" si="212">SUM(F311:F313)</f>
        <v>-23773.77</v>
      </c>
      <c r="G310" s="255">
        <f t="shared" si="212"/>
        <v>6026.23</v>
      </c>
      <c r="H310" s="255">
        <f t="shared" si="212"/>
        <v>0</v>
      </c>
      <c r="I310" s="255">
        <f t="shared" si="212"/>
        <v>0</v>
      </c>
      <c r="J310" s="255">
        <f t="shared" si="212"/>
        <v>0</v>
      </c>
      <c r="K310" s="255">
        <f t="shared" si="212"/>
        <v>0</v>
      </c>
      <c r="L310" s="255">
        <f t="shared" si="212"/>
        <v>0</v>
      </c>
      <c r="M310" s="255">
        <f t="shared" si="212"/>
        <v>0</v>
      </c>
      <c r="N310" s="255">
        <f t="shared" si="212"/>
        <v>0</v>
      </c>
      <c r="O310" s="255">
        <f t="shared" si="212"/>
        <v>0</v>
      </c>
      <c r="P310" s="255">
        <f t="shared" si="212"/>
        <v>0</v>
      </c>
      <c r="Q310" s="255">
        <f t="shared" si="212"/>
        <v>0</v>
      </c>
    </row>
    <row r="311" spans="1:17" x14ac:dyDescent="0.35">
      <c r="A311" s="273"/>
      <c r="B311" s="273"/>
      <c r="C311" s="273" t="s">
        <v>1194</v>
      </c>
      <c r="D311" s="254">
        <v>0</v>
      </c>
      <c r="E311" s="254">
        <v>-29800</v>
      </c>
      <c r="F311" s="254">
        <v>0</v>
      </c>
      <c r="G311" s="254">
        <f>F311-E311</f>
        <v>29800</v>
      </c>
      <c r="J311" s="1"/>
    </row>
    <row r="312" spans="1:17" x14ac:dyDescent="0.35">
      <c r="A312" s="273"/>
      <c r="B312" s="273"/>
      <c r="C312" s="273" t="s">
        <v>739</v>
      </c>
      <c r="D312" s="254">
        <v>0</v>
      </c>
      <c r="E312" s="254">
        <f t="shared" ref="E312:E313" si="213">D312</f>
        <v>0</v>
      </c>
      <c r="F312" s="254">
        <v>-20789.95</v>
      </c>
      <c r="G312" s="254">
        <f t="shared" ref="G312:G313" si="214">F312-E312</f>
        <v>-20789.95</v>
      </c>
      <c r="J312" s="1"/>
    </row>
    <row r="313" spans="1:17" x14ac:dyDescent="0.35">
      <c r="A313" s="273"/>
      <c r="B313" s="273"/>
      <c r="C313" s="273" t="s">
        <v>740</v>
      </c>
      <c r="D313" s="254">
        <v>0</v>
      </c>
      <c r="E313" s="254">
        <f t="shared" si="213"/>
        <v>0</v>
      </c>
      <c r="F313" s="254">
        <v>-2983.82</v>
      </c>
      <c r="G313" s="254">
        <f t="shared" si="214"/>
        <v>-2983.82</v>
      </c>
      <c r="J313" s="1"/>
    </row>
    <row r="314" spans="1:17" x14ac:dyDescent="0.35">
      <c r="A314" s="274"/>
      <c r="B314" s="274"/>
      <c r="C314" s="274" t="s">
        <v>1040</v>
      </c>
      <c r="D314" s="255">
        <f>SUM(D316:D317)</f>
        <v>-64000</v>
      </c>
      <c r="E314" s="255">
        <f>SUM(E315:E317)</f>
        <v>-210828.19</v>
      </c>
      <c r="F314" s="255">
        <f t="shared" ref="F314:G314" si="215">SUM(F315:F317)</f>
        <v>-126734.22</v>
      </c>
      <c r="G314" s="255">
        <f t="shared" si="215"/>
        <v>84093.970000000016</v>
      </c>
      <c r="I314" s="248">
        <f>D314-E314</f>
        <v>146828.19</v>
      </c>
      <c r="J314" s="1"/>
    </row>
    <row r="315" spans="1:17" x14ac:dyDescent="0.35">
      <c r="A315" s="273"/>
      <c r="B315" s="273"/>
      <c r="C315" s="273" t="s">
        <v>1194</v>
      </c>
      <c r="D315" s="254">
        <v>0</v>
      </c>
      <c r="E315" s="254">
        <f>-210827.69-0.5</f>
        <v>-210828.19</v>
      </c>
      <c r="F315" s="254">
        <v>0</v>
      </c>
      <c r="G315" s="254">
        <f>F315-E315</f>
        <v>210828.19</v>
      </c>
      <c r="J315" s="1" t="s">
        <v>1172</v>
      </c>
    </row>
    <row r="316" spans="1:17" x14ac:dyDescent="0.35">
      <c r="A316" s="273"/>
      <c r="B316" s="273"/>
      <c r="C316" s="273" t="s">
        <v>739</v>
      </c>
      <c r="D316" s="254">
        <v>-31000</v>
      </c>
      <c r="E316" s="254">
        <f>D316+31000</f>
        <v>0</v>
      </c>
      <c r="F316" s="254">
        <v>-62955.27</v>
      </c>
      <c r="G316" s="254">
        <f t="shared" ref="G316:G317" si="216">F316-E316</f>
        <v>-62955.27</v>
      </c>
      <c r="J316" s="1"/>
    </row>
    <row r="317" spans="1:17" x14ac:dyDescent="0.35">
      <c r="A317" s="274"/>
      <c r="B317" s="274"/>
      <c r="C317" s="273" t="s">
        <v>740</v>
      </c>
      <c r="D317" s="254">
        <v>-33000</v>
      </c>
      <c r="E317" s="254">
        <f>D317+33000</f>
        <v>0</v>
      </c>
      <c r="F317" s="254">
        <f>-93246.84+29467.89</f>
        <v>-63778.95</v>
      </c>
      <c r="G317" s="254">
        <f t="shared" si="216"/>
        <v>-63778.95</v>
      </c>
      <c r="H317" s="248">
        <v>29467.89</v>
      </c>
      <c r="J317" s="1" t="s">
        <v>1172</v>
      </c>
    </row>
    <row r="318" spans="1:17" x14ac:dyDescent="0.35">
      <c r="A318" s="274"/>
      <c r="B318" s="274"/>
      <c r="C318" s="274" t="s">
        <v>1042</v>
      </c>
      <c r="D318" s="255">
        <v>-13609</v>
      </c>
      <c r="E318" s="255">
        <f>D318</f>
        <v>-13609</v>
      </c>
      <c r="F318" s="255">
        <v>-13608.65</v>
      </c>
      <c r="G318" s="255">
        <f>F318-E318</f>
        <v>0.3500000000003638</v>
      </c>
      <c r="J318" s="1"/>
    </row>
    <row r="319" spans="1:17" x14ac:dyDescent="0.35">
      <c r="A319" s="274"/>
      <c r="B319" s="274" t="s">
        <v>1068</v>
      </c>
      <c r="C319" s="274"/>
      <c r="D319" s="255">
        <f>SUM(D321:D325)</f>
        <v>-10345632</v>
      </c>
      <c r="E319" s="255">
        <f>SUM(E320:E325)</f>
        <v>-54153860.670000002</v>
      </c>
      <c r="F319" s="255">
        <f t="shared" ref="F319:G319" si="217">SUM(F320:F325)</f>
        <v>-12735667.130975999</v>
      </c>
      <c r="G319" s="255">
        <f t="shared" si="217"/>
        <v>41418193.539024003</v>
      </c>
      <c r="J319" s="1"/>
    </row>
    <row r="320" spans="1:17" x14ac:dyDescent="0.35">
      <c r="A320" s="273"/>
      <c r="B320" s="273"/>
      <c r="C320" s="273" t="s">
        <v>1194</v>
      </c>
      <c r="D320" s="254">
        <f>D337+D333</f>
        <v>0</v>
      </c>
      <c r="E320" s="254">
        <f>E337+E333</f>
        <v>-46392242.32</v>
      </c>
      <c r="F320" s="254">
        <f>F337+F333</f>
        <v>0</v>
      </c>
      <c r="G320" s="254">
        <f>F320-E320</f>
        <v>46392242.32</v>
      </c>
      <c r="J320" s="1"/>
    </row>
    <row r="321" spans="1:10" x14ac:dyDescent="0.35">
      <c r="A321" s="273"/>
      <c r="B321" s="273"/>
      <c r="C321" s="273" t="s">
        <v>739</v>
      </c>
      <c r="D321" s="254">
        <f t="shared" ref="D321:F322" si="218">D327+D334+D338</f>
        <v>-3746103</v>
      </c>
      <c r="E321" s="254">
        <f t="shared" si="218"/>
        <v>-2671158</v>
      </c>
      <c r="F321" s="254">
        <f t="shared" si="218"/>
        <v>-4221725.25</v>
      </c>
      <c r="G321" s="254">
        <f t="shared" ref="G321:G325" si="219">F321-E321</f>
        <v>-1550567.25</v>
      </c>
      <c r="J321" s="1"/>
    </row>
    <row r="322" spans="1:10" x14ac:dyDescent="0.35">
      <c r="A322" s="273"/>
      <c r="B322" s="273"/>
      <c r="C322" s="273" t="s">
        <v>740</v>
      </c>
      <c r="D322" s="254">
        <f t="shared" si="218"/>
        <v>-6051754</v>
      </c>
      <c r="E322" s="254">
        <f t="shared" si="218"/>
        <v>-4542685.3499999996</v>
      </c>
      <c r="F322" s="254">
        <f t="shared" si="218"/>
        <v>-7842699.1309759999</v>
      </c>
      <c r="G322" s="254">
        <f t="shared" si="219"/>
        <v>-3300013.7809760002</v>
      </c>
      <c r="J322" s="1" t="s">
        <v>1173</v>
      </c>
    </row>
    <row r="323" spans="1:10" x14ac:dyDescent="0.35">
      <c r="A323" s="273"/>
      <c r="B323" s="273"/>
      <c r="C323" s="273" t="s">
        <v>1033</v>
      </c>
      <c r="D323" s="254">
        <v>0</v>
      </c>
      <c r="E323" s="254">
        <v>0</v>
      </c>
      <c r="F323" s="254">
        <f>F340</f>
        <v>-1000</v>
      </c>
      <c r="G323" s="254">
        <f t="shared" si="219"/>
        <v>-1000</v>
      </c>
      <c r="J323" s="1" t="s">
        <v>1174</v>
      </c>
    </row>
    <row r="324" spans="1:10" x14ac:dyDescent="0.35">
      <c r="A324" s="273"/>
      <c r="B324" s="273"/>
      <c r="C324" s="273" t="s">
        <v>1034</v>
      </c>
      <c r="D324" s="254">
        <v>0</v>
      </c>
      <c r="E324" s="254">
        <v>0</v>
      </c>
      <c r="F324" s="254">
        <f>F341</f>
        <v>-23070.91</v>
      </c>
      <c r="G324" s="254">
        <f t="shared" si="219"/>
        <v>-23070.91</v>
      </c>
      <c r="J324" s="1" t="s">
        <v>1162</v>
      </c>
    </row>
    <row r="325" spans="1:10" x14ac:dyDescent="0.35">
      <c r="A325" s="273"/>
      <c r="B325" s="273"/>
      <c r="C325" s="273" t="s">
        <v>1035</v>
      </c>
      <c r="D325" s="254">
        <f>D343+D329+D331+D342</f>
        <v>-547775</v>
      </c>
      <c r="E325" s="254">
        <f>E343+E329+E331+E342</f>
        <v>-547775</v>
      </c>
      <c r="F325" s="254">
        <f>F343+F329+F331+F342</f>
        <v>-647171.84000000008</v>
      </c>
      <c r="G325" s="254">
        <f t="shared" si="219"/>
        <v>-99396.840000000084</v>
      </c>
      <c r="J325" s="1"/>
    </row>
    <row r="326" spans="1:10" x14ac:dyDescent="0.35">
      <c r="A326" s="274"/>
      <c r="B326" s="274"/>
      <c r="C326" s="274" t="s">
        <v>1037</v>
      </c>
      <c r="D326" s="255">
        <f>SUM(D327:D329)</f>
        <v>-7238810</v>
      </c>
      <c r="E326" s="255">
        <f t="shared" ref="E326:F326" si="220">SUM(E327:E329)</f>
        <v>-7213843.3499999996</v>
      </c>
      <c r="F326" s="255">
        <f t="shared" si="220"/>
        <v>-6896191.0399999991</v>
      </c>
      <c r="G326" s="255">
        <f>F326-E326</f>
        <v>317652.31000000052</v>
      </c>
      <c r="J326" s="1"/>
    </row>
    <row r="327" spans="1:10" x14ac:dyDescent="0.35">
      <c r="A327" s="273"/>
      <c r="B327" s="273"/>
      <c r="C327" s="273" t="s">
        <v>739</v>
      </c>
      <c r="D327" s="254">
        <v>-2671158</v>
      </c>
      <c r="E327" s="254">
        <f t="shared" ref="E327" si="221">D327</f>
        <v>-2671158</v>
      </c>
      <c r="F327" s="254">
        <v>-2644378.11</v>
      </c>
      <c r="G327" s="254">
        <f t="shared" ref="G327:G329" si="222">F327-E327</f>
        <v>26779.89000000013</v>
      </c>
      <c r="J327" s="1"/>
    </row>
    <row r="328" spans="1:10" x14ac:dyDescent="0.35">
      <c r="A328" s="273"/>
      <c r="B328" s="273"/>
      <c r="C328" s="273" t="s">
        <v>740</v>
      </c>
      <c r="D328" s="254">
        <v>-4567652</v>
      </c>
      <c r="E328" s="254">
        <f>D328+24966.65</f>
        <v>-4542685.3499999996</v>
      </c>
      <c r="F328" s="254">
        <f>-3965905.43-976-3000-281867</f>
        <v>-4251748.43</v>
      </c>
      <c r="G328" s="254">
        <f t="shared" si="222"/>
        <v>290936.91999999993</v>
      </c>
      <c r="I328" s="248">
        <f>D328-E328</f>
        <v>-24966.650000000373</v>
      </c>
      <c r="J328" s="1" t="s">
        <v>1175</v>
      </c>
    </row>
    <row r="329" spans="1:10" x14ac:dyDescent="0.35">
      <c r="A329" s="273"/>
      <c r="B329" s="273"/>
      <c r="C329" s="273" t="s">
        <v>742</v>
      </c>
      <c r="D329" s="254">
        <v>0</v>
      </c>
      <c r="E329" s="254">
        <v>0</v>
      </c>
      <c r="F329" s="254">
        <v>-64.5</v>
      </c>
      <c r="G329" s="254">
        <f t="shared" si="222"/>
        <v>-64.5</v>
      </c>
      <c r="J329" s="1"/>
    </row>
    <row r="330" spans="1:10" s="64" customFormat="1" x14ac:dyDescent="0.35">
      <c r="A330" s="274"/>
      <c r="B330" s="274"/>
      <c r="C330" s="274" t="s">
        <v>1038</v>
      </c>
      <c r="D330" s="255">
        <f>D331</f>
        <v>0</v>
      </c>
      <c r="E330" s="255">
        <f>E331</f>
        <v>0</v>
      </c>
      <c r="F330" s="255">
        <f>F331</f>
        <v>-91.31</v>
      </c>
      <c r="G330" s="255">
        <f>F330-E330</f>
        <v>-91.31</v>
      </c>
      <c r="H330" s="248"/>
      <c r="I330" s="248"/>
      <c r="J330" s="1"/>
    </row>
    <row r="331" spans="1:10" x14ac:dyDescent="0.35">
      <c r="A331" s="273"/>
      <c r="B331" s="273"/>
      <c r="C331" s="273" t="s">
        <v>742</v>
      </c>
      <c r="D331" s="254">
        <v>0</v>
      </c>
      <c r="E331" s="254">
        <f t="shared" ref="E331" si="223">D331</f>
        <v>0</v>
      </c>
      <c r="F331" s="254">
        <v>-91.31</v>
      </c>
      <c r="G331" s="254">
        <f t="shared" ref="G331" si="224">F331-E331</f>
        <v>-91.31</v>
      </c>
      <c r="J331" s="1"/>
    </row>
    <row r="332" spans="1:10" x14ac:dyDescent="0.35">
      <c r="A332" s="274"/>
      <c r="B332" s="274"/>
      <c r="C332" s="274" t="s">
        <v>1039</v>
      </c>
      <c r="D332" s="255">
        <f>SUM(D334:D335)</f>
        <v>-77205</v>
      </c>
      <c r="E332" s="255">
        <f>SUM(E333:E335)</f>
        <v>-221321.59</v>
      </c>
      <c r="F332" s="255">
        <f t="shared" ref="F332:G332" si="225">SUM(F333:F335)</f>
        <v>-71734.429999999993</v>
      </c>
      <c r="G332" s="255">
        <f t="shared" si="225"/>
        <v>149587.16</v>
      </c>
      <c r="I332" s="248">
        <f>D332-E332</f>
        <v>144116.59</v>
      </c>
      <c r="J332" s="1"/>
    </row>
    <row r="333" spans="1:10" x14ac:dyDescent="0.35">
      <c r="A333" s="273"/>
      <c r="B333" s="273"/>
      <c r="C333" s="273" t="s">
        <v>1194</v>
      </c>
      <c r="D333" s="254">
        <v>0</v>
      </c>
      <c r="E333" s="254">
        <v>-221321.59</v>
      </c>
      <c r="F333" s="254">
        <v>0</v>
      </c>
      <c r="G333" s="254">
        <f>F333-E333</f>
        <v>221321.59</v>
      </c>
      <c r="J333" s="1"/>
    </row>
    <row r="334" spans="1:10" x14ac:dyDescent="0.35">
      <c r="A334" s="273"/>
      <c r="B334" s="273"/>
      <c r="C334" s="273" t="s">
        <v>739</v>
      </c>
      <c r="D334" s="254">
        <v>-45780</v>
      </c>
      <c r="E334" s="254">
        <f>D334+45780</f>
        <v>0</v>
      </c>
      <c r="F334" s="254">
        <v>-31979.94</v>
      </c>
      <c r="G334" s="254">
        <f t="shared" ref="G334:G335" si="226">F334-E334</f>
        <v>-31979.94</v>
      </c>
      <c r="J334" s="1"/>
    </row>
    <row r="335" spans="1:10" x14ac:dyDescent="0.35">
      <c r="A335" s="273"/>
      <c r="B335" s="273"/>
      <c r="C335" s="273" t="s">
        <v>740</v>
      </c>
      <c r="D335" s="254">
        <v>-31425</v>
      </c>
      <c r="E335" s="254">
        <f>D335+31425</f>
        <v>0</v>
      </c>
      <c r="F335" s="254">
        <v>-39754.49</v>
      </c>
      <c r="G335" s="254">
        <f t="shared" si="226"/>
        <v>-39754.49</v>
      </c>
      <c r="J335" s="1"/>
    </row>
    <row r="336" spans="1:10" x14ac:dyDescent="0.35">
      <c r="A336" s="274"/>
      <c r="B336" s="274"/>
      <c r="C336" s="274" t="s">
        <v>1040</v>
      </c>
      <c r="D336" s="255">
        <f>SUM(D338:D342)</f>
        <v>-2481842</v>
      </c>
      <c r="E336" s="255">
        <f>SUM(E337:E342)</f>
        <v>-46170920.729999997</v>
      </c>
      <c r="F336" s="255">
        <f t="shared" ref="F336:G336" si="227">SUM(F337:F342)</f>
        <v>-5121151.3209760003</v>
      </c>
      <c r="G336" s="255">
        <f t="shared" si="227"/>
        <v>41049769.409024</v>
      </c>
      <c r="I336" s="248">
        <f>D336-E336</f>
        <v>43689078.729999997</v>
      </c>
      <c r="J336" s="1"/>
    </row>
    <row r="337" spans="1:10" x14ac:dyDescent="0.35">
      <c r="A337" s="274"/>
      <c r="B337" s="274"/>
      <c r="C337" s="273" t="s">
        <v>1194</v>
      </c>
      <c r="D337" s="254">
        <v>0</v>
      </c>
      <c r="E337" s="254">
        <f>-46170920.73</f>
        <v>-46170920.729999997</v>
      </c>
      <c r="F337" s="254">
        <v>0</v>
      </c>
      <c r="G337" s="254">
        <f>F337-E337</f>
        <v>46170920.729999997</v>
      </c>
      <c r="J337" s="1"/>
    </row>
    <row r="338" spans="1:10" x14ac:dyDescent="0.35">
      <c r="A338" s="273"/>
      <c r="B338" s="273"/>
      <c r="C338" s="273" t="s">
        <v>739</v>
      </c>
      <c r="D338" s="254">
        <f>-1007130-22035</f>
        <v>-1029165</v>
      </c>
      <c r="E338" s="254">
        <f>D338+1029165</f>
        <v>0</v>
      </c>
      <c r="F338" s="254">
        <v>-1545367.2</v>
      </c>
      <c r="G338" s="254">
        <f t="shared" ref="G338:G342" si="228">F338-E338</f>
        <v>-1545367.2</v>
      </c>
      <c r="J338" s="1"/>
    </row>
    <row r="339" spans="1:10" x14ac:dyDescent="0.35">
      <c r="A339" s="274"/>
      <c r="B339" s="274"/>
      <c r="C339" s="273" t="s">
        <v>740</v>
      </c>
      <c r="D339" s="254">
        <f>-1442870-9807</f>
        <v>-1452677</v>
      </c>
      <c r="E339" s="254">
        <f>D339+1452677</f>
        <v>0</v>
      </c>
      <c r="F339" s="254">
        <f>-3837039.210976+976+3000+281867</f>
        <v>-3551196.2109759999</v>
      </c>
      <c r="G339" s="254">
        <f t="shared" si="228"/>
        <v>-3551196.2109759999</v>
      </c>
      <c r="J339" s="1"/>
    </row>
    <row r="340" spans="1:10" x14ac:dyDescent="0.35">
      <c r="A340" s="274"/>
      <c r="B340" s="274"/>
      <c r="C340" s="273" t="s">
        <v>1033</v>
      </c>
      <c r="D340" s="254">
        <v>0</v>
      </c>
      <c r="E340" s="254">
        <v>0</v>
      </c>
      <c r="F340" s="254">
        <v>-1000</v>
      </c>
      <c r="G340" s="254">
        <f>F340-E340</f>
        <v>-1000</v>
      </c>
      <c r="J340" s="1"/>
    </row>
    <row r="341" spans="1:10" x14ac:dyDescent="0.35">
      <c r="A341" s="274"/>
      <c r="B341" s="274"/>
      <c r="C341" s="273" t="s">
        <v>1034</v>
      </c>
      <c r="D341" s="254">
        <v>0</v>
      </c>
      <c r="E341" s="254">
        <v>0</v>
      </c>
      <c r="F341" s="254">
        <v>-23070.91</v>
      </c>
      <c r="G341" s="254">
        <f>F341-E341</f>
        <v>-23070.91</v>
      </c>
      <c r="J341" s="1"/>
    </row>
    <row r="342" spans="1:10" x14ac:dyDescent="0.35">
      <c r="A342" s="274"/>
      <c r="B342" s="274"/>
      <c r="C342" s="273" t="s">
        <v>742</v>
      </c>
      <c r="D342" s="254">
        <v>0</v>
      </c>
      <c r="E342" s="254">
        <v>0</v>
      </c>
      <c r="F342" s="254">
        <v>-517</v>
      </c>
      <c r="G342" s="254">
        <f t="shared" si="228"/>
        <v>-517</v>
      </c>
      <c r="J342" s="1"/>
    </row>
    <row r="343" spans="1:10" x14ac:dyDescent="0.35">
      <c r="A343" s="274"/>
      <c r="B343" s="274"/>
      <c r="C343" s="274" t="s">
        <v>1042</v>
      </c>
      <c r="D343" s="255">
        <v>-547775</v>
      </c>
      <c r="E343" s="255">
        <f>D343</f>
        <v>-547775</v>
      </c>
      <c r="F343" s="255">
        <v>-646499.03</v>
      </c>
      <c r="G343" s="255">
        <f>F343-E343</f>
        <v>-98724.030000000028</v>
      </c>
      <c r="J343" s="1"/>
    </row>
    <row r="344" spans="1:10" x14ac:dyDescent="0.35">
      <c r="A344" s="274"/>
      <c r="B344" s="274" t="s">
        <v>1069</v>
      </c>
      <c r="C344" s="274"/>
      <c r="D344" s="255">
        <f>SUM(D346:D348)</f>
        <v>-399269</v>
      </c>
      <c r="E344" s="255">
        <f>SUM(E345:E348)</f>
        <v>-465782.42000000004</v>
      </c>
      <c r="F344" s="255">
        <f t="shared" ref="F344:G344" si="229">SUM(F345:F348)</f>
        <v>-454029.52999999997</v>
      </c>
      <c r="G344" s="255">
        <f t="shared" si="229"/>
        <v>11752.890000000029</v>
      </c>
      <c r="J344" s="1"/>
    </row>
    <row r="345" spans="1:10" x14ac:dyDescent="0.35">
      <c r="A345" s="273"/>
      <c r="B345" s="273"/>
      <c r="C345" s="273" t="s">
        <v>1194</v>
      </c>
      <c r="D345" s="254">
        <f>D357+D354</f>
        <v>0</v>
      </c>
      <c r="E345" s="254">
        <f>E357+E354</f>
        <v>-88469.03</v>
      </c>
      <c r="F345" s="254">
        <f>F357+F354</f>
        <v>0</v>
      </c>
      <c r="G345" s="254">
        <f>F345-E345</f>
        <v>88469.03</v>
      </c>
      <c r="J345" s="1"/>
    </row>
    <row r="346" spans="1:10" x14ac:dyDescent="0.35">
      <c r="A346" s="273"/>
      <c r="B346" s="273"/>
      <c r="C346" s="273" t="s">
        <v>739</v>
      </c>
      <c r="D346" s="254">
        <f>D350+D358</f>
        <v>-225843</v>
      </c>
      <c r="E346" s="254">
        <f>E350+E358</f>
        <v>-182072</v>
      </c>
      <c r="F346" s="254">
        <f>F350+F358</f>
        <v>-221901.83</v>
      </c>
      <c r="G346" s="254">
        <f t="shared" ref="G346:G348" si="230">F346-E346</f>
        <v>-39829.829999999987</v>
      </c>
      <c r="J346" s="1"/>
    </row>
    <row r="347" spans="1:10" x14ac:dyDescent="0.35">
      <c r="A347" s="273"/>
      <c r="B347" s="273"/>
      <c r="C347" s="273" t="s">
        <v>740</v>
      </c>
      <c r="D347" s="254">
        <f>D351+D359</f>
        <v>-69762</v>
      </c>
      <c r="E347" s="254">
        <f>E351+E359</f>
        <v>-91577.39</v>
      </c>
      <c r="F347" s="254">
        <f>F351+F359+F355</f>
        <v>-125650.70999999999</v>
      </c>
      <c r="G347" s="254">
        <f t="shared" si="230"/>
        <v>-34073.319999999992</v>
      </c>
      <c r="J347" s="1"/>
    </row>
    <row r="348" spans="1:10" x14ac:dyDescent="0.35">
      <c r="A348" s="273"/>
      <c r="B348" s="273"/>
      <c r="C348" s="273" t="s">
        <v>1035</v>
      </c>
      <c r="D348" s="254">
        <f>D360</f>
        <v>-103664</v>
      </c>
      <c r="E348" s="254">
        <f>E360</f>
        <v>-103664</v>
      </c>
      <c r="F348" s="254">
        <f>F360+F352</f>
        <v>-106476.98999999999</v>
      </c>
      <c r="G348" s="254">
        <f t="shared" si="230"/>
        <v>-2812.9899999999907</v>
      </c>
      <c r="J348" s="1"/>
    </row>
    <row r="349" spans="1:10" x14ac:dyDescent="0.35">
      <c r="A349" s="274"/>
      <c r="B349" s="274"/>
      <c r="C349" s="274" t="s">
        <v>1037</v>
      </c>
      <c r="D349" s="255">
        <f>SUM(D350:D351)</f>
        <v>-227605</v>
      </c>
      <c r="E349" s="255">
        <f>SUM(E350:E351)</f>
        <v>-273649.39</v>
      </c>
      <c r="F349" s="255">
        <f>SUM(F350:F352)</f>
        <v>-273649.39</v>
      </c>
      <c r="G349" s="255">
        <f>F349-E349</f>
        <v>0</v>
      </c>
      <c r="J349" s="1"/>
    </row>
    <row r="350" spans="1:10" x14ac:dyDescent="0.35">
      <c r="A350" s="273"/>
      <c r="B350" s="273"/>
      <c r="C350" s="273" t="s">
        <v>739</v>
      </c>
      <c r="D350" s="254">
        <v>-167420</v>
      </c>
      <c r="E350" s="254">
        <f>D350-14652</f>
        <v>-182072</v>
      </c>
      <c r="F350" s="254">
        <v>-181987.21</v>
      </c>
      <c r="G350" s="254">
        <f t="shared" ref="G350:G352" si="231">F350-E350</f>
        <v>84.790000000008149</v>
      </c>
      <c r="I350" s="248">
        <f>D350-E350</f>
        <v>14652</v>
      </c>
      <c r="J350" s="1"/>
    </row>
    <row r="351" spans="1:10" x14ac:dyDescent="0.35">
      <c r="A351" s="273"/>
      <c r="B351" s="273"/>
      <c r="C351" s="273" t="s">
        <v>740</v>
      </c>
      <c r="D351" s="254">
        <v>-60185</v>
      </c>
      <c r="E351" s="254">
        <f>D351-31392.39</f>
        <v>-91577.39</v>
      </c>
      <c r="F351" s="254">
        <v>-91267.34</v>
      </c>
      <c r="G351" s="254">
        <f t="shared" si="231"/>
        <v>310.05000000000291</v>
      </c>
      <c r="I351" s="248">
        <f>D351-E351</f>
        <v>31392.39</v>
      </c>
      <c r="J351" s="1"/>
    </row>
    <row r="352" spans="1:10" x14ac:dyDescent="0.35">
      <c r="A352" s="274"/>
      <c r="B352" s="274"/>
      <c r="C352" s="273" t="s">
        <v>742</v>
      </c>
      <c r="D352" s="254">
        <v>0</v>
      </c>
      <c r="E352" s="254">
        <v>0</v>
      </c>
      <c r="F352" s="254">
        <v>-394.84</v>
      </c>
      <c r="G352" s="254">
        <f t="shared" si="231"/>
        <v>-394.84</v>
      </c>
      <c r="J352" s="1"/>
    </row>
    <row r="353" spans="1:10" x14ac:dyDescent="0.35">
      <c r="A353" s="274"/>
      <c r="B353" s="274"/>
      <c r="C353" s="274" t="s">
        <v>1039</v>
      </c>
      <c r="D353" s="255">
        <f>SUM(D355:D355)</f>
        <v>0</v>
      </c>
      <c r="E353" s="255">
        <f>SUM(E354:E355)</f>
        <v>-13984</v>
      </c>
      <c r="F353" s="255">
        <f t="shared" ref="F353:G353" si="232">SUM(F354:F355)</f>
        <v>-6818.91</v>
      </c>
      <c r="G353" s="255">
        <f t="shared" si="232"/>
        <v>7165.09</v>
      </c>
      <c r="I353" s="248">
        <f>D353-E353</f>
        <v>13984</v>
      </c>
      <c r="J353" s="1"/>
    </row>
    <row r="354" spans="1:10" x14ac:dyDescent="0.35">
      <c r="A354" s="273"/>
      <c r="B354" s="273"/>
      <c r="C354" s="273" t="s">
        <v>1194</v>
      </c>
      <c r="D354" s="254">
        <v>0</v>
      </c>
      <c r="E354" s="254">
        <v>-13984</v>
      </c>
      <c r="F354" s="254">
        <v>0</v>
      </c>
      <c r="G354" s="254">
        <f>F354-E354</f>
        <v>13984</v>
      </c>
      <c r="J354" s="1"/>
    </row>
    <row r="355" spans="1:10" x14ac:dyDescent="0.35">
      <c r="A355" s="273"/>
      <c r="B355" s="273"/>
      <c r="C355" s="273" t="s">
        <v>740</v>
      </c>
      <c r="D355" s="254">
        <v>0</v>
      </c>
      <c r="E355" s="254">
        <f t="shared" ref="E355" si="233">D355</f>
        <v>0</v>
      </c>
      <c r="F355" s="254">
        <v>-6818.91</v>
      </c>
      <c r="G355" s="254">
        <f t="shared" ref="G355" si="234">F355-E355</f>
        <v>-6818.91</v>
      </c>
      <c r="J355" s="1"/>
    </row>
    <row r="356" spans="1:10" x14ac:dyDescent="0.35">
      <c r="A356" s="274"/>
      <c r="B356" s="274"/>
      <c r="C356" s="274" t="s">
        <v>1040</v>
      </c>
      <c r="D356" s="255">
        <f>SUM(D358:D359)</f>
        <v>-68000</v>
      </c>
      <c r="E356" s="255">
        <f>SUM(E357:E359)</f>
        <v>-74485.03</v>
      </c>
      <c r="F356" s="255">
        <f t="shared" ref="F356:G356" si="235">SUM(F357:F359)</f>
        <v>-67479.08</v>
      </c>
      <c r="G356" s="255">
        <f t="shared" si="235"/>
        <v>7005.9499999999971</v>
      </c>
      <c r="I356" s="248">
        <f>D356-E356</f>
        <v>6485.0299999999988</v>
      </c>
      <c r="J356" s="1"/>
    </row>
    <row r="357" spans="1:10" x14ac:dyDescent="0.35">
      <c r="A357" s="274"/>
      <c r="B357" s="274"/>
      <c r="C357" s="273" t="s">
        <v>1194</v>
      </c>
      <c r="D357" s="254">
        <v>0</v>
      </c>
      <c r="E357" s="254">
        <v>-74485.03</v>
      </c>
      <c r="F357" s="255">
        <v>0</v>
      </c>
      <c r="G357" s="254">
        <f>F357-E357</f>
        <v>74485.03</v>
      </c>
      <c r="J357" s="1"/>
    </row>
    <row r="358" spans="1:10" x14ac:dyDescent="0.35">
      <c r="A358" s="273"/>
      <c r="B358" s="273"/>
      <c r="C358" s="273" t="s">
        <v>739</v>
      </c>
      <c r="D358" s="254">
        <v>-58423</v>
      </c>
      <c r="E358" s="254">
        <f>D358+58423</f>
        <v>0</v>
      </c>
      <c r="F358" s="254">
        <v>-39914.620000000003</v>
      </c>
      <c r="G358" s="254">
        <f t="shared" ref="G358:G359" si="236">F358-E358</f>
        <v>-39914.620000000003</v>
      </c>
      <c r="J358" s="1"/>
    </row>
    <row r="359" spans="1:10" x14ac:dyDescent="0.35">
      <c r="A359" s="274"/>
      <c r="B359" s="274"/>
      <c r="C359" s="273" t="s">
        <v>740</v>
      </c>
      <c r="D359" s="254">
        <v>-9577</v>
      </c>
      <c r="E359" s="254">
        <f>D359+9577</f>
        <v>0</v>
      </c>
      <c r="F359" s="255">
        <v>-27564.46</v>
      </c>
      <c r="G359" s="254">
        <f t="shared" si="236"/>
        <v>-27564.46</v>
      </c>
      <c r="J359" s="1"/>
    </row>
    <row r="360" spans="1:10" x14ac:dyDescent="0.35">
      <c r="A360" s="274"/>
      <c r="B360" s="274"/>
      <c r="C360" s="274" t="s">
        <v>1042</v>
      </c>
      <c r="D360" s="255">
        <v>-103664</v>
      </c>
      <c r="E360" s="255">
        <f>D360</f>
        <v>-103664</v>
      </c>
      <c r="F360" s="255">
        <v>-106082.15</v>
      </c>
      <c r="G360" s="255">
        <f>F360-E360</f>
        <v>-2418.1499999999942</v>
      </c>
      <c r="J360" s="1"/>
    </row>
    <row r="361" spans="1:10" x14ac:dyDescent="0.35">
      <c r="A361" s="274"/>
      <c r="B361" s="274" t="s">
        <v>1070</v>
      </c>
      <c r="C361" s="274"/>
      <c r="D361" s="255">
        <f>SUM(D363:D365)</f>
        <v>-353571</v>
      </c>
      <c r="E361" s="255">
        <f>SUM(E362:E365)</f>
        <v>-186873.88999999998</v>
      </c>
      <c r="F361" s="255">
        <f t="shared" ref="F361:G361" si="237">SUM(F362:F365)</f>
        <v>-140311.56</v>
      </c>
      <c r="G361" s="255">
        <f t="shared" si="237"/>
        <v>46562.329999999987</v>
      </c>
      <c r="J361" s="1"/>
    </row>
    <row r="362" spans="1:10" x14ac:dyDescent="0.35">
      <c r="A362" s="273"/>
      <c r="B362" s="273"/>
      <c r="C362" s="273" t="s">
        <v>1194</v>
      </c>
      <c r="D362" s="254">
        <f>D370</f>
        <v>0</v>
      </c>
      <c r="E362" s="254">
        <f>E370</f>
        <v>-42516.62</v>
      </c>
      <c r="F362" s="254">
        <f>F370</f>
        <v>0</v>
      </c>
      <c r="G362" s="254">
        <f>F362-E362</f>
        <v>42516.62</v>
      </c>
      <c r="J362" s="1"/>
    </row>
    <row r="363" spans="1:10" x14ac:dyDescent="0.35">
      <c r="A363" s="273"/>
      <c r="B363" s="273"/>
      <c r="C363" s="273" t="s">
        <v>739</v>
      </c>
      <c r="D363" s="254">
        <f>D367+D371</f>
        <v>-276700</v>
      </c>
      <c r="E363" s="254">
        <f t="shared" ref="E363:F363" si="238">E367+E371</f>
        <v>-101465.04999999999</v>
      </c>
      <c r="F363" s="254">
        <f t="shared" si="238"/>
        <v>-116015.8</v>
      </c>
      <c r="G363" s="254">
        <f t="shared" ref="G363:G365" si="239">F363-E363</f>
        <v>-14550.750000000015</v>
      </c>
      <c r="J363" s="1"/>
    </row>
    <row r="364" spans="1:10" x14ac:dyDescent="0.35">
      <c r="A364" s="273"/>
      <c r="B364" s="273"/>
      <c r="C364" s="273" t="s">
        <v>740</v>
      </c>
      <c r="D364" s="254">
        <f>D368+D372</f>
        <v>-49205</v>
      </c>
      <c r="E364" s="254">
        <f t="shared" ref="E364:F364" si="240">E368+E372</f>
        <v>-15226.220000000001</v>
      </c>
      <c r="F364" s="254">
        <f t="shared" si="240"/>
        <v>-18652.57</v>
      </c>
      <c r="G364" s="254">
        <f t="shared" si="239"/>
        <v>-3426.3499999999985</v>
      </c>
      <c r="J364" s="1"/>
    </row>
    <row r="365" spans="1:10" x14ac:dyDescent="0.35">
      <c r="A365" s="273"/>
      <c r="B365" s="273"/>
      <c r="C365" s="273" t="s">
        <v>1035</v>
      </c>
      <c r="D365" s="254">
        <f>D373</f>
        <v>-27666</v>
      </c>
      <c r="E365" s="254">
        <f t="shared" ref="E365:F365" si="241">E373</f>
        <v>-27666</v>
      </c>
      <c r="F365" s="254">
        <f t="shared" si="241"/>
        <v>-5643.19</v>
      </c>
      <c r="G365" s="254">
        <f t="shared" si="239"/>
        <v>22022.81</v>
      </c>
      <c r="J365" s="1"/>
    </row>
    <row r="366" spans="1:10" x14ac:dyDescent="0.35">
      <c r="A366" s="274"/>
      <c r="B366" s="274"/>
      <c r="C366" s="274" t="s">
        <v>1037</v>
      </c>
      <c r="D366" s="255">
        <f>SUM(D367:D368)</f>
        <v>-306905</v>
      </c>
      <c r="E366" s="255">
        <f>SUM(E367:E368)</f>
        <v>-116691.26999999999</v>
      </c>
      <c r="F366" s="255">
        <f>SUM(F367:F368)</f>
        <v>-116691.27</v>
      </c>
      <c r="G366" s="255">
        <f>F366-E366</f>
        <v>0</v>
      </c>
      <c r="J366" s="1"/>
    </row>
    <row r="367" spans="1:10" x14ac:dyDescent="0.35">
      <c r="A367" s="273"/>
      <c r="B367" s="273"/>
      <c r="C367" s="273" t="s">
        <v>739</v>
      </c>
      <c r="D367" s="254">
        <v>-268700</v>
      </c>
      <c r="E367" s="254">
        <f>D367+167234.95</f>
        <v>-101465.04999999999</v>
      </c>
      <c r="F367" s="254">
        <v>-101465.05</v>
      </c>
      <c r="G367" s="254">
        <f t="shared" ref="G367:G368" si="242">F367-E367</f>
        <v>0</v>
      </c>
      <c r="I367" s="248">
        <f>D367-E367</f>
        <v>-167234.95000000001</v>
      </c>
      <c r="J367" s="1" t="s">
        <v>1176</v>
      </c>
    </row>
    <row r="368" spans="1:10" x14ac:dyDescent="0.35">
      <c r="A368" s="273"/>
      <c r="B368" s="273"/>
      <c r="C368" s="273" t="s">
        <v>740</v>
      </c>
      <c r="D368" s="254">
        <v>-38205</v>
      </c>
      <c r="E368" s="254">
        <f>D368+22978.78</f>
        <v>-15226.220000000001</v>
      </c>
      <c r="F368" s="254">
        <v>-15226.22</v>
      </c>
      <c r="G368" s="254">
        <f t="shared" si="242"/>
        <v>0</v>
      </c>
      <c r="I368" s="248">
        <f>D368-E368</f>
        <v>-22978.78</v>
      </c>
      <c r="J368" s="1"/>
    </row>
    <row r="369" spans="1:10" x14ac:dyDescent="0.35">
      <c r="A369" s="274"/>
      <c r="B369" s="274"/>
      <c r="C369" s="274" t="s">
        <v>1040</v>
      </c>
      <c r="D369" s="255">
        <f>SUM(D371:D372)</f>
        <v>-19000</v>
      </c>
      <c r="E369" s="255">
        <f>SUM(E370:E372)</f>
        <v>-42516.62</v>
      </c>
      <c r="F369" s="255">
        <f t="shared" ref="F369:G369" si="243">SUM(F370:F372)</f>
        <v>-17977.099999999999</v>
      </c>
      <c r="G369" s="255">
        <f t="shared" si="243"/>
        <v>24539.520000000004</v>
      </c>
      <c r="I369" s="248">
        <f>D369-E369</f>
        <v>23516.620000000003</v>
      </c>
      <c r="J369" s="1"/>
    </row>
    <row r="370" spans="1:10" x14ac:dyDescent="0.35">
      <c r="A370" s="274"/>
      <c r="B370" s="274"/>
      <c r="C370" s="273" t="s">
        <v>1194</v>
      </c>
      <c r="D370" s="254">
        <v>0</v>
      </c>
      <c r="E370" s="254">
        <v>-42516.62</v>
      </c>
      <c r="F370" s="254">
        <v>0</v>
      </c>
      <c r="G370" s="254">
        <f>F370-E370</f>
        <v>42516.62</v>
      </c>
      <c r="J370" s="1"/>
    </row>
    <row r="371" spans="1:10" x14ac:dyDescent="0.35">
      <c r="A371" s="273"/>
      <c r="B371" s="273"/>
      <c r="C371" s="273" t="s">
        <v>739</v>
      </c>
      <c r="D371" s="254">
        <v>-8000</v>
      </c>
      <c r="E371" s="254">
        <f>D371+8000</f>
        <v>0</v>
      </c>
      <c r="F371" s="254">
        <v>-14550.75</v>
      </c>
      <c r="G371" s="254">
        <f t="shared" ref="G371:G372" si="244">F371-E371</f>
        <v>-14550.75</v>
      </c>
      <c r="J371" s="1"/>
    </row>
    <row r="372" spans="1:10" x14ac:dyDescent="0.35">
      <c r="A372" s="274"/>
      <c r="B372" s="274"/>
      <c r="C372" s="273" t="s">
        <v>740</v>
      </c>
      <c r="D372" s="254">
        <v>-11000</v>
      </c>
      <c r="E372" s="254">
        <f>D372+11000</f>
        <v>0</v>
      </c>
      <c r="F372" s="255">
        <v>-3426.35</v>
      </c>
      <c r="G372" s="254">
        <f t="shared" si="244"/>
        <v>-3426.35</v>
      </c>
      <c r="J372" s="1"/>
    </row>
    <row r="373" spans="1:10" x14ac:dyDescent="0.35">
      <c r="A373" s="274"/>
      <c r="B373" s="274"/>
      <c r="C373" s="274" t="s">
        <v>1042</v>
      </c>
      <c r="D373" s="255">
        <v>-27666</v>
      </c>
      <c r="E373" s="255">
        <f>D373</f>
        <v>-27666</v>
      </c>
      <c r="F373" s="255">
        <v>-5643.19</v>
      </c>
      <c r="G373" s="255">
        <f>F373-E373</f>
        <v>22022.81</v>
      </c>
      <c r="J373" s="1"/>
    </row>
    <row r="374" spans="1:10" s="64" customFormat="1" ht="15" x14ac:dyDescent="0.35">
      <c r="A374" s="283" t="s">
        <v>1072</v>
      </c>
      <c r="B374" s="274"/>
      <c r="C374" s="274"/>
      <c r="D374" s="255">
        <f>SUM(D375:D376)</f>
        <v>-2637930</v>
      </c>
      <c r="E374" s="255">
        <f t="shared" ref="E374:F374" si="245">SUM(E375:E376)</f>
        <v>-2937732</v>
      </c>
      <c r="F374" s="255">
        <f t="shared" si="245"/>
        <v>-2827241.06</v>
      </c>
      <c r="G374" s="255">
        <f t="shared" ref="G374:G377" si="246">F374-E374</f>
        <v>110490.93999999994</v>
      </c>
      <c r="H374" s="248"/>
      <c r="I374" s="248"/>
      <c r="J374" s="1"/>
    </row>
    <row r="375" spans="1:10" x14ac:dyDescent="0.35">
      <c r="A375" s="273"/>
      <c r="B375" s="273" t="s">
        <v>1037</v>
      </c>
      <c r="C375" s="273"/>
      <c r="D375" s="254">
        <f>D382</f>
        <v>-19000</v>
      </c>
      <c r="E375" s="254">
        <f t="shared" ref="E375" si="247">E382</f>
        <v>-39000</v>
      </c>
      <c r="F375" s="254">
        <f>F382</f>
        <v>-13105.810000000001</v>
      </c>
      <c r="G375" s="254">
        <f t="shared" si="246"/>
        <v>25894.19</v>
      </c>
      <c r="J375" s="1"/>
    </row>
    <row r="376" spans="1:10" x14ac:dyDescent="0.35">
      <c r="A376" s="273"/>
      <c r="B376" s="273" t="s">
        <v>1039</v>
      </c>
      <c r="C376" s="273"/>
      <c r="D376" s="254">
        <f>D385</f>
        <v>-2618930</v>
      </c>
      <c r="E376" s="254">
        <f t="shared" ref="E376:F376" si="248">E385</f>
        <v>-2898732</v>
      </c>
      <c r="F376" s="254">
        <f t="shared" si="248"/>
        <v>-2814135.25</v>
      </c>
      <c r="G376" s="254">
        <f t="shared" si="246"/>
        <v>84596.75</v>
      </c>
      <c r="J376" s="1"/>
    </row>
    <row r="377" spans="1:10" x14ac:dyDescent="0.35">
      <c r="A377" s="274"/>
      <c r="B377" s="274" t="s">
        <v>88</v>
      </c>
      <c r="C377" s="274"/>
      <c r="D377" s="255">
        <f>SUM(D378:D381)</f>
        <v>-2637930</v>
      </c>
      <c r="E377" s="255">
        <f t="shared" ref="E377:F377" si="249">SUM(E378:E381)</f>
        <v>-2937732</v>
      </c>
      <c r="F377" s="255">
        <f t="shared" si="249"/>
        <v>-2827241.0599999996</v>
      </c>
      <c r="G377" s="255">
        <f t="shared" si="246"/>
        <v>110490.94000000041</v>
      </c>
      <c r="J377" s="1"/>
    </row>
    <row r="378" spans="1:10" x14ac:dyDescent="0.35">
      <c r="A378" s="273"/>
      <c r="B378" s="273"/>
      <c r="C378" s="273" t="s">
        <v>1194</v>
      </c>
      <c r="D378" s="254">
        <f>D386</f>
        <v>0</v>
      </c>
      <c r="E378" s="254">
        <f>E386</f>
        <v>-2898732</v>
      </c>
      <c r="F378" s="254">
        <f>F386</f>
        <v>0</v>
      </c>
      <c r="G378" s="254">
        <f>F378-E378</f>
        <v>2898732</v>
      </c>
      <c r="J378" s="1"/>
    </row>
    <row r="379" spans="1:10" x14ac:dyDescent="0.35">
      <c r="A379" s="273"/>
      <c r="B379" s="273"/>
      <c r="C379" s="273" t="s">
        <v>739</v>
      </c>
      <c r="D379" s="254">
        <f>D387+D383</f>
        <v>-36530</v>
      </c>
      <c r="E379" s="254">
        <f t="shared" ref="E379:F379" si="250">E387+E383</f>
        <v>-6229</v>
      </c>
      <c r="F379" s="254">
        <f t="shared" si="250"/>
        <v>-113100.81999999999</v>
      </c>
      <c r="G379" s="254">
        <f t="shared" ref="G379:G381" si="251">F379-E379</f>
        <v>-106871.81999999999</v>
      </c>
      <c r="J379" s="1"/>
    </row>
    <row r="380" spans="1:10" x14ac:dyDescent="0.35">
      <c r="A380" s="273"/>
      <c r="B380" s="273"/>
      <c r="C380" s="273" t="s">
        <v>740</v>
      </c>
      <c r="D380" s="254">
        <f>D384</f>
        <v>-19000</v>
      </c>
      <c r="E380" s="254">
        <f t="shared" ref="E380:F380" si="252">E384</f>
        <v>-32771</v>
      </c>
      <c r="F380" s="254">
        <f t="shared" si="252"/>
        <v>-6877.42</v>
      </c>
      <c r="G380" s="254">
        <f t="shared" si="251"/>
        <v>25893.58</v>
      </c>
      <c r="J380" s="1"/>
    </row>
    <row r="381" spans="1:10" x14ac:dyDescent="0.35">
      <c r="A381" s="273"/>
      <c r="B381" s="273"/>
      <c r="C381" s="273" t="s">
        <v>1034</v>
      </c>
      <c r="D381" s="254">
        <f>D388</f>
        <v>-2582400</v>
      </c>
      <c r="E381" s="254">
        <f t="shared" ref="E381:F381" si="253">E388</f>
        <v>0</v>
      </c>
      <c r="F381" s="254">
        <f t="shared" si="253"/>
        <v>-2707262.82</v>
      </c>
      <c r="G381" s="254">
        <f t="shared" si="251"/>
        <v>-2707262.82</v>
      </c>
      <c r="J381" s="1"/>
    </row>
    <row r="382" spans="1:10" x14ac:dyDescent="0.35">
      <c r="A382" s="274"/>
      <c r="B382" s="274"/>
      <c r="C382" s="274" t="s">
        <v>1037</v>
      </c>
      <c r="D382" s="255">
        <f>SUM(D383:D384)</f>
        <v>-19000</v>
      </c>
      <c r="E382" s="255">
        <f t="shared" ref="E382:F382" si="254">SUM(E383:E384)</f>
        <v>-39000</v>
      </c>
      <c r="F382" s="255">
        <f t="shared" si="254"/>
        <v>-13105.810000000001</v>
      </c>
      <c r="G382" s="255">
        <f>F382-E382</f>
        <v>25894.19</v>
      </c>
      <c r="J382" s="1"/>
    </row>
    <row r="383" spans="1:10" x14ac:dyDescent="0.35">
      <c r="A383" s="273"/>
      <c r="B383" s="273"/>
      <c r="C383" s="273" t="s">
        <v>739</v>
      </c>
      <c r="D383" s="254">
        <v>0</v>
      </c>
      <c r="E383" s="254">
        <v>-6229</v>
      </c>
      <c r="F383" s="254">
        <v>-6228.39</v>
      </c>
      <c r="G383" s="254">
        <f t="shared" ref="G383:G384" si="255">F383-E383</f>
        <v>0.60999999999967258</v>
      </c>
      <c r="I383" s="248">
        <f>D383-E383</f>
        <v>6229</v>
      </c>
      <c r="J383" s="1"/>
    </row>
    <row r="384" spans="1:10" x14ac:dyDescent="0.35">
      <c r="A384" s="273"/>
      <c r="B384" s="273"/>
      <c r="C384" s="273" t="s">
        <v>740</v>
      </c>
      <c r="D384" s="254">
        <v>-19000</v>
      </c>
      <c r="E384" s="254">
        <f>D384-13771</f>
        <v>-32771</v>
      </c>
      <c r="F384" s="254">
        <v>-6877.42</v>
      </c>
      <c r="G384" s="254">
        <f t="shared" si="255"/>
        <v>25893.58</v>
      </c>
      <c r="I384" s="248">
        <f>D384-E384</f>
        <v>13771</v>
      </c>
      <c r="J384" s="1"/>
    </row>
    <row r="385" spans="1:18" x14ac:dyDescent="0.35">
      <c r="A385" s="274"/>
      <c r="B385" s="274"/>
      <c r="C385" s="274" t="s">
        <v>1039</v>
      </c>
      <c r="D385" s="255">
        <f>SUM(D387:D388)</f>
        <v>-2618930</v>
      </c>
      <c r="E385" s="255">
        <f>SUM(E386:E388)</f>
        <v>-2898732</v>
      </c>
      <c r="F385" s="255">
        <f t="shared" ref="F385:G385" si="256">SUM(F386:F388)</f>
        <v>-2814135.25</v>
      </c>
      <c r="G385" s="255">
        <f t="shared" si="256"/>
        <v>84596.75</v>
      </c>
      <c r="I385" s="248">
        <f>D385-E385</f>
        <v>279802</v>
      </c>
      <c r="J385" s="1"/>
    </row>
    <row r="386" spans="1:18" x14ac:dyDescent="0.35">
      <c r="A386" s="273"/>
      <c r="B386" s="273"/>
      <c r="C386" s="273" t="s">
        <v>1194</v>
      </c>
      <c r="D386" s="254">
        <v>0</v>
      </c>
      <c r="E386" s="254">
        <v>-2898732</v>
      </c>
      <c r="F386" s="254">
        <v>0</v>
      </c>
      <c r="G386" s="254">
        <f>F386-E386</f>
        <v>2898732</v>
      </c>
      <c r="J386" s="1"/>
    </row>
    <row r="387" spans="1:18" x14ac:dyDescent="0.35">
      <c r="A387" s="273"/>
      <c r="B387" s="273"/>
      <c r="C387" s="273" t="s">
        <v>739</v>
      </c>
      <c r="D387" s="254">
        <v>-36530</v>
      </c>
      <c r="E387" s="254">
        <f>D387+36530</f>
        <v>0</v>
      </c>
      <c r="F387" s="254">
        <v>-106872.43</v>
      </c>
      <c r="G387" s="254">
        <f t="shared" ref="G387:G388" si="257">F387-E387</f>
        <v>-106872.43</v>
      </c>
      <c r="J387" s="1"/>
    </row>
    <row r="388" spans="1:18" x14ac:dyDescent="0.35">
      <c r="A388" s="273"/>
      <c r="B388" s="273"/>
      <c r="C388" s="273" t="s">
        <v>1034</v>
      </c>
      <c r="D388" s="254">
        <v>-2582400</v>
      </c>
      <c r="E388" s="254">
        <f>D388+2582400</f>
        <v>0</v>
      </c>
      <c r="F388" s="254">
        <v>-2707262.82</v>
      </c>
      <c r="G388" s="254">
        <f t="shared" si="257"/>
        <v>-2707262.82</v>
      </c>
      <c r="J388" s="1"/>
    </row>
    <row r="389" spans="1:18" s="64" customFormat="1" ht="15" x14ac:dyDescent="0.35">
      <c r="A389" s="283" t="s">
        <v>1073</v>
      </c>
      <c r="B389" s="274"/>
      <c r="C389" s="274"/>
      <c r="D389" s="255">
        <f>SUM(D390:D391)</f>
        <v>-2466276</v>
      </c>
      <c r="E389" s="255">
        <f t="shared" ref="E389" si="258">SUM(E390:E391)</f>
        <v>-2955426.78</v>
      </c>
      <c r="F389" s="255">
        <f t="shared" ref="F389" si="259">SUM(F390:F391)</f>
        <v>-2598290.23</v>
      </c>
      <c r="G389" s="255">
        <f t="shared" ref="G389:G391" si="260">F389-E389</f>
        <v>357136.54999999981</v>
      </c>
      <c r="H389" s="248"/>
      <c r="I389" s="248"/>
      <c r="J389" s="1"/>
    </row>
    <row r="390" spans="1:18" x14ac:dyDescent="0.35">
      <c r="A390" s="273"/>
      <c r="B390" s="273" t="s">
        <v>1037</v>
      </c>
      <c r="C390" s="273"/>
      <c r="D390" s="254">
        <f>D396</f>
        <v>-2452876</v>
      </c>
      <c r="E390" s="254">
        <f t="shared" ref="E390" si="261">E396</f>
        <v>-2893591</v>
      </c>
      <c r="F390" s="254">
        <f>F396</f>
        <v>-2548181.7200000002</v>
      </c>
      <c r="G390" s="254">
        <f t="shared" si="260"/>
        <v>345409.2799999998</v>
      </c>
      <c r="J390" s="1"/>
    </row>
    <row r="391" spans="1:18" x14ac:dyDescent="0.35">
      <c r="A391" s="273"/>
      <c r="B391" s="273" t="s">
        <v>1039</v>
      </c>
      <c r="C391" s="273"/>
      <c r="D391" s="254">
        <f>D399</f>
        <v>-13400</v>
      </c>
      <c r="E391" s="254">
        <f t="shared" ref="E391:F391" si="262">E399</f>
        <v>-61835.78</v>
      </c>
      <c r="F391" s="254">
        <f t="shared" si="262"/>
        <v>-50108.51</v>
      </c>
      <c r="G391" s="254">
        <f t="shared" si="260"/>
        <v>11727.269999999997</v>
      </c>
      <c r="J391" s="1"/>
    </row>
    <row r="392" spans="1:18" x14ac:dyDescent="0.35">
      <c r="A392" s="274"/>
      <c r="B392" s="274" t="s">
        <v>88</v>
      </c>
      <c r="C392" s="274"/>
      <c r="D392" s="255">
        <f>SUM(D394:D395)</f>
        <v>-2466276</v>
      </c>
      <c r="E392" s="255">
        <f>SUM(E393:E395)</f>
        <v>-2955426.7800000003</v>
      </c>
      <c r="F392" s="255">
        <f t="shared" ref="F392:Q392" si="263">SUM(F393:F395)</f>
        <v>-2598290.23</v>
      </c>
      <c r="G392" s="255">
        <f t="shared" si="263"/>
        <v>357136.54999999993</v>
      </c>
      <c r="H392" s="255">
        <f t="shared" si="263"/>
        <v>0</v>
      </c>
      <c r="I392" s="255">
        <f t="shared" si="263"/>
        <v>0</v>
      </c>
      <c r="J392" s="255">
        <f t="shared" si="263"/>
        <v>0</v>
      </c>
      <c r="K392" s="255">
        <f t="shared" si="263"/>
        <v>0</v>
      </c>
      <c r="L392" s="255">
        <f t="shared" si="263"/>
        <v>0</v>
      </c>
      <c r="M392" s="255">
        <f t="shared" si="263"/>
        <v>0</v>
      </c>
      <c r="N392" s="255">
        <f t="shared" si="263"/>
        <v>0</v>
      </c>
      <c r="O392" s="255">
        <f t="shared" si="263"/>
        <v>0</v>
      </c>
      <c r="P392" s="255">
        <f t="shared" si="263"/>
        <v>0</v>
      </c>
      <c r="Q392" s="255">
        <f t="shared" si="263"/>
        <v>0</v>
      </c>
    </row>
    <row r="393" spans="1:18" x14ac:dyDescent="0.35">
      <c r="A393" s="273"/>
      <c r="B393" s="273"/>
      <c r="C393" s="273" t="s">
        <v>1194</v>
      </c>
      <c r="D393" s="254">
        <f>D400</f>
        <v>0</v>
      </c>
      <c r="E393" s="254">
        <f>E400</f>
        <v>-61835.78</v>
      </c>
      <c r="F393" s="254">
        <f>F400</f>
        <v>0</v>
      </c>
      <c r="G393" s="254">
        <f>F393-E393</f>
        <v>61835.78</v>
      </c>
      <c r="J393" s="1"/>
      <c r="O393" s="1"/>
      <c r="P393" s="1"/>
      <c r="Q393" s="1"/>
      <c r="R393" s="1"/>
    </row>
    <row r="394" spans="1:18" x14ac:dyDescent="0.35">
      <c r="A394" s="273"/>
      <c r="B394" s="273"/>
      <c r="C394" s="273" t="s">
        <v>740</v>
      </c>
      <c r="D394" s="254">
        <f>D397+D401</f>
        <v>-919965</v>
      </c>
      <c r="E394" s="254">
        <f t="shared" ref="E394:F394" si="264">E397+E401</f>
        <v>-1131479</v>
      </c>
      <c r="F394" s="254">
        <f t="shared" si="264"/>
        <v>-998539.33</v>
      </c>
      <c r="G394" s="254">
        <f t="shared" ref="G394:G395" si="265">F394-E394</f>
        <v>132939.67000000004</v>
      </c>
      <c r="J394" s="1"/>
      <c r="O394" s="1"/>
      <c r="P394" s="1"/>
      <c r="Q394" s="1"/>
      <c r="R394" s="1"/>
    </row>
    <row r="395" spans="1:18" x14ac:dyDescent="0.35">
      <c r="A395" s="273"/>
      <c r="B395" s="273"/>
      <c r="C395" s="273" t="s">
        <v>1034</v>
      </c>
      <c r="D395" s="254">
        <f>D398+D402</f>
        <v>-1546311</v>
      </c>
      <c r="E395" s="254">
        <f>E398+E402</f>
        <v>-1762112</v>
      </c>
      <c r="F395" s="254">
        <f>F398+F402</f>
        <v>-1599750.9000000001</v>
      </c>
      <c r="G395" s="254">
        <f t="shared" si="265"/>
        <v>162361.09999999986</v>
      </c>
      <c r="J395" s="1"/>
      <c r="O395" s="1"/>
      <c r="P395" s="1"/>
      <c r="Q395" s="1"/>
      <c r="R395" s="1"/>
    </row>
    <row r="396" spans="1:18" x14ac:dyDescent="0.35">
      <c r="A396" s="274"/>
      <c r="B396" s="274"/>
      <c r="C396" s="274" t="s">
        <v>1037</v>
      </c>
      <c r="D396" s="255">
        <f>SUM(D397:D398)</f>
        <v>-2452876</v>
      </c>
      <c r="E396" s="255">
        <f t="shared" ref="E396:F396" si="266">SUM(E397:E398)</f>
        <v>-2893591</v>
      </c>
      <c r="F396" s="255">
        <f t="shared" si="266"/>
        <v>-2548181.7200000002</v>
      </c>
      <c r="G396" s="255">
        <f>F396-E396</f>
        <v>345409.2799999998</v>
      </c>
      <c r="J396" s="1"/>
      <c r="N396" s="64"/>
      <c r="O396" s="278"/>
      <c r="P396" s="278"/>
      <c r="Q396" s="278"/>
      <c r="R396" s="278"/>
    </row>
    <row r="397" spans="1:18" x14ac:dyDescent="0.35">
      <c r="A397" s="273"/>
      <c r="B397" s="273"/>
      <c r="C397" s="273" t="s">
        <v>740</v>
      </c>
      <c r="D397" s="254">
        <v>-913135</v>
      </c>
      <c r="E397" s="254">
        <f>D397-218344</f>
        <v>-1131479</v>
      </c>
      <c r="F397" s="254">
        <v>-996999.89</v>
      </c>
      <c r="G397" s="254">
        <f t="shared" ref="G397:G398" si="267">F397-E397</f>
        <v>134479.10999999999</v>
      </c>
      <c r="I397" s="248">
        <f>D397-E397</f>
        <v>218344</v>
      </c>
      <c r="J397" s="1"/>
      <c r="O397" s="1"/>
      <c r="P397" s="1"/>
      <c r="Q397" s="1"/>
      <c r="R397" s="1"/>
    </row>
    <row r="398" spans="1:18" x14ac:dyDescent="0.35">
      <c r="A398" s="273"/>
      <c r="B398" s="273"/>
      <c r="C398" s="273" t="s">
        <v>1034</v>
      </c>
      <c r="D398" s="254">
        <v>-1539741</v>
      </c>
      <c r="E398" s="254">
        <f>D398-222371</f>
        <v>-1762112</v>
      </c>
      <c r="F398" s="254">
        <v>-1551181.83</v>
      </c>
      <c r="G398" s="254">
        <f t="shared" si="267"/>
        <v>210930.16999999993</v>
      </c>
      <c r="I398" s="248">
        <f>D398-E398</f>
        <v>222371</v>
      </c>
      <c r="J398" s="1"/>
      <c r="O398" s="1"/>
      <c r="P398" s="1"/>
      <c r="Q398" s="1"/>
      <c r="R398" s="1"/>
    </row>
    <row r="399" spans="1:18" x14ac:dyDescent="0.35">
      <c r="A399" s="274"/>
      <c r="B399" s="274"/>
      <c r="C399" s="274" t="s">
        <v>1039</v>
      </c>
      <c r="D399" s="255">
        <f>SUM(D401:D402)</f>
        <v>-13400</v>
      </c>
      <c r="E399" s="255">
        <f>SUM(E400:E402)</f>
        <v>-61835.78</v>
      </c>
      <c r="F399" s="255">
        <f t="shared" ref="F399:G399" si="268">SUM(F400:F402)</f>
        <v>-50108.51</v>
      </c>
      <c r="G399" s="255">
        <f t="shared" si="268"/>
        <v>11727.269999999997</v>
      </c>
      <c r="I399" s="248">
        <f>D399-E399</f>
        <v>48435.78</v>
      </c>
      <c r="J399" s="1"/>
      <c r="O399" s="1"/>
      <c r="P399" s="1"/>
      <c r="Q399" s="1"/>
      <c r="R399" s="1"/>
    </row>
    <row r="400" spans="1:18" x14ac:dyDescent="0.35">
      <c r="A400" s="273"/>
      <c r="B400" s="273"/>
      <c r="C400" s="273" t="s">
        <v>1194</v>
      </c>
      <c r="D400" s="254"/>
      <c r="E400" s="254">
        <v>-61835.78</v>
      </c>
      <c r="F400" s="254"/>
      <c r="G400" s="254">
        <f>F400-E400</f>
        <v>61835.78</v>
      </c>
      <c r="J400" s="1"/>
    </row>
    <row r="401" spans="1:18" x14ac:dyDescent="0.35">
      <c r="A401" s="273"/>
      <c r="B401" s="273"/>
      <c r="C401" s="273" t="s">
        <v>740</v>
      </c>
      <c r="D401" s="254">
        <v>-6830</v>
      </c>
      <c r="E401" s="254">
        <f>D401+6830</f>
        <v>0</v>
      </c>
      <c r="F401" s="254">
        <v>-1539.44</v>
      </c>
      <c r="G401" s="254">
        <f t="shared" ref="G401:G402" si="269">F401-E401</f>
        <v>-1539.44</v>
      </c>
      <c r="J401" s="1"/>
    </row>
    <row r="402" spans="1:18" x14ac:dyDescent="0.35">
      <c r="A402" s="273"/>
      <c r="B402" s="273"/>
      <c r="C402" s="273" t="s">
        <v>1034</v>
      </c>
      <c r="D402" s="254">
        <v>-6570</v>
      </c>
      <c r="E402" s="254">
        <f>D402+6570</f>
        <v>0</v>
      </c>
      <c r="F402" s="254">
        <v>-48569.07</v>
      </c>
      <c r="G402" s="254">
        <f t="shared" si="269"/>
        <v>-48569.07</v>
      </c>
      <c r="J402" s="1"/>
    </row>
    <row r="403" spans="1:18" s="64" customFormat="1" ht="15" x14ac:dyDescent="0.35">
      <c r="A403" s="283" t="s">
        <v>1074</v>
      </c>
      <c r="B403" s="274"/>
      <c r="C403" s="274"/>
      <c r="D403" s="255">
        <f>SUM(D405:D405)</f>
        <v>-2708023</v>
      </c>
      <c r="E403" s="255">
        <f>SUM(E404:E405)</f>
        <v>-2626969.69</v>
      </c>
      <c r="F403" s="255">
        <f>SUM(F404:F405)</f>
        <v>-2626969.69</v>
      </c>
      <c r="G403" s="255">
        <f t="shared" ref="G403:G405" si="270">F403-E403</f>
        <v>0</v>
      </c>
      <c r="H403" s="248"/>
      <c r="I403" s="248"/>
      <c r="J403" s="1"/>
    </row>
    <row r="404" spans="1:18" s="64" customFormat="1" ht="15" x14ac:dyDescent="0.35">
      <c r="A404" s="283"/>
      <c r="B404" s="273" t="s">
        <v>1037</v>
      </c>
      <c r="C404" s="274"/>
      <c r="D404" s="255">
        <v>0</v>
      </c>
      <c r="E404" s="255">
        <f>E409</f>
        <v>-14.43</v>
      </c>
      <c r="F404" s="255">
        <f>F409</f>
        <v>-14.43</v>
      </c>
      <c r="G404" s="254">
        <f t="shared" si="270"/>
        <v>0</v>
      </c>
      <c r="H404" s="248"/>
      <c r="I404" s="248"/>
      <c r="J404" s="1"/>
    </row>
    <row r="405" spans="1:18" x14ac:dyDescent="0.35">
      <c r="A405" s="273"/>
      <c r="B405" s="273" t="s">
        <v>1039</v>
      </c>
      <c r="C405" s="273"/>
      <c r="D405" s="254">
        <f>D411</f>
        <v>-2708023</v>
      </c>
      <c r="E405" s="254">
        <f t="shared" ref="E405:F405" si="271">E411</f>
        <v>-2626955.2599999998</v>
      </c>
      <c r="F405" s="254">
        <f t="shared" si="271"/>
        <v>-2626955.2599999998</v>
      </c>
      <c r="G405" s="254">
        <f t="shared" si="270"/>
        <v>0</v>
      </c>
      <c r="J405" s="1"/>
    </row>
    <row r="406" spans="1:18" x14ac:dyDescent="0.35">
      <c r="A406" s="274"/>
      <c r="B406" s="274" t="s">
        <v>88</v>
      </c>
      <c r="C406" s="274"/>
      <c r="D406" s="255">
        <f>SUM(D408:D408)</f>
        <v>-2708023</v>
      </c>
      <c r="E406" s="255">
        <f>SUM(E407:E408)</f>
        <v>-2626969.69</v>
      </c>
      <c r="F406" s="255">
        <f t="shared" ref="F406:G406" si="272">SUM(F407:F408)</f>
        <v>-2626969.69</v>
      </c>
      <c r="G406" s="255">
        <f t="shared" si="272"/>
        <v>0</v>
      </c>
      <c r="J406" s="1"/>
    </row>
    <row r="407" spans="1:18" x14ac:dyDescent="0.35">
      <c r="A407" s="273"/>
      <c r="B407" s="273"/>
      <c r="C407" s="273" t="s">
        <v>1194</v>
      </c>
      <c r="D407" s="254">
        <f>D412</f>
        <v>0</v>
      </c>
      <c r="E407" s="254">
        <f>E412</f>
        <v>-2626955.2599999998</v>
      </c>
      <c r="F407" s="254">
        <f>F412</f>
        <v>0</v>
      </c>
      <c r="G407" s="254">
        <f>F407-E407</f>
        <v>2626955.2599999998</v>
      </c>
      <c r="J407" s="1"/>
    </row>
    <row r="408" spans="1:18" x14ac:dyDescent="0.35">
      <c r="A408" s="273"/>
      <c r="B408" s="273"/>
      <c r="C408" s="273" t="s">
        <v>1034</v>
      </c>
      <c r="D408" s="254">
        <f>D413+D410</f>
        <v>-2708023</v>
      </c>
      <c r="E408" s="254">
        <f t="shared" ref="E408:F408" si="273">E413+E410</f>
        <v>-14.43</v>
      </c>
      <c r="F408" s="254">
        <f t="shared" si="273"/>
        <v>-2626969.69</v>
      </c>
      <c r="G408" s="254">
        <f t="shared" ref="G408" si="274">F408-E408</f>
        <v>-2626955.2599999998</v>
      </c>
      <c r="J408" s="1"/>
    </row>
    <row r="409" spans="1:18" x14ac:dyDescent="0.35">
      <c r="A409" s="274"/>
      <c r="B409" s="274"/>
      <c r="C409" s="274" t="s">
        <v>1037</v>
      </c>
      <c r="D409" s="255">
        <f>SUM(D410:D410)</f>
        <v>0</v>
      </c>
      <c r="E409" s="255">
        <f>SUM(E410:E410)</f>
        <v>-14.43</v>
      </c>
      <c r="F409" s="255">
        <f>SUM(F410:F410)</f>
        <v>-14.43</v>
      </c>
      <c r="G409" s="255">
        <f>F409-E409</f>
        <v>0</v>
      </c>
      <c r="J409" s="1"/>
      <c r="N409" s="64"/>
      <c r="O409" s="278"/>
      <c r="P409" s="278"/>
      <c r="Q409" s="278"/>
      <c r="R409" s="278"/>
    </row>
    <row r="410" spans="1:18" x14ac:dyDescent="0.35">
      <c r="A410" s="273"/>
      <c r="B410" s="273"/>
      <c r="C410" s="273" t="s">
        <v>1034</v>
      </c>
      <c r="D410" s="254">
        <v>0</v>
      </c>
      <c r="E410" s="254">
        <v>-14.43</v>
      </c>
      <c r="F410" s="254">
        <v>-14.43</v>
      </c>
      <c r="G410" s="254">
        <f t="shared" ref="G410" si="275">F410-E410</f>
        <v>0</v>
      </c>
      <c r="I410" s="248">
        <f>D410-E410</f>
        <v>14.43</v>
      </c>
      <c r="J410" s="1"/>
      <c r="O410" s="1"/>
      <c r="P410" s="1"/>
      <c r="Q410" s="1"/>
      <c r="R410" s="1"/>
    </row>
    <row r="411" spans="1:18" x14ac:dyDescent="0.35">
      <c r="A411" s="274"/>
      <c r="B411" s="274"/>
      <c r="C411" s="274" t="s">
        <v>1039</v>
      </c>
      <c r="D411" s="255">
        <f>SUM(D413:D413)</f>
        <v>-2708023</v>
      </c>
      <c r="E411" s="255">
        <f>SUM(E412:E413)</f>
        <v>-2626955.2599999998</v>
      </c>
      <c r="F411" s="255">
        <f t="shared" ref="F411:G411" si="276">SUM(F412:F413)</f>
        <v>-2626955.2599999998</v>
      </c>
      <c r="G411" s="255">
        <f t="shared" si="276"/>
        <v>0</v>
      </c>
      <c r="I411" s="248">
        <f>D411-E411</f>
        <v>-81067.740000000224</v>
      </c>
      <c r="J411" s="1"/>
    </row>
    <row r="412" spans="1:18" x14ac:dyDescent="0.35">
      <c r="A412" s="273"/>
      <c r="B412" s="273"/>
      <c r="C412" s="273" t="s">
        <v>1194</v>
      </c>
      <c r="D412" s="254">
        <v>0</v>
      </c>
      <c r="E412" s="254">
        <v>-2626955.2599999998</v>
      </c>
      <c r="F412" s="254">
        <v>0</v>
      </c>
      <c r="G412" s="254">
        <f>F412-E412</f>
        <v>2626955.2599999998</v>
      </c>
      <c r="J412" s="1"/>
    </row>
    <row r="413" spans="1:18" x14ac:dyDescent="0.35">
      <c r="A413" s="273"/>
      <c r="B413" s="273"/>
      <c r="C413" s="273" t="s">
        <v>1034</v>
      </c>
      <c r="D413" s="254">
        <f>-203221-2504802</f>
        <v>-2708023</v>
      </c>
      <c r="E413" s="254">
        <f>D413+2708023</f>
        <v>0</v>
      </c>
      <c r="F413" s="254">
        <v>-2626955.2599999998</v>
      </c>
      <c r="G413" s="254">
        <f t="shared" ref="G413:G420" si="277">F413-E413</f>
        <v>-2626955.2599999998</v>
      </c>
      <c r="J413" s="1"/>
    </row>
    <row r="414" spans="1:18" s="64" customFormat="1" ht="15" x14ac:dyDescent="0.35">
      <c r="A414" s="283" t="s">
        <v>1076</v>
      </c>
      <c r="B414" s="274"/>
      <c r="C414" s="274"/>
      <c r="D414" s="255">
        <f>SUM(D415:D419)</f>
        <v>-30473248</v>
      </c>
      <c r="E414" s="255">
        <f t="shared" ref="E414" si="278">SUM(E415:E419)</f>
        <v>-35757983.140000001</v>
      </c>
      <c r="F414" s="255">
        <f>SUM(F415:F419)</f>
        <v>-32683252.82</v>
      </c>
      <c r="G414" s="255">
        <f t="shared" si="277"/>
        <v>3074730.3200000003</v>
      </c>
      <c r="H414" s="248"/>
      <c r="I414" s="248"/>
      <c r="J414" s="1"/>
    </row>
    <row r="415" spans="1:18" x14ac:dyDescent="0.35">
      <c r="A415" s="273"/>
      <c r="B415" s="273" t="s">
        <v>1037</v>
      </c>
      <c r="C415" s="273"/>
      <c r="D415" s="254">
        <f>D428</f>
        <v>-11904749</v>
      </c>
      <c r="E415" s="254">
        <f t="shared" ref="E415" si="279">E428</f>
        <v>-17186431.59</v>
      </c>
      <c r="F415" s="254">
        <f>F428</f>
        <v>-13425869.25</v>
      </c>
      <c r="G415" s="254">
        <f t="shared" si="277"/>
        <v>3760562.34</v>
      </c>
      <c r="J415" s="1"/>
    </row>
    <row r="416" spans="1:18" x14ac:dyDescent="0.35">
      <c r="A416" s="273"/>
      <c r="B416" s="273" t="s">
        <v>1038</v>
      </c>
      <c r="C416" s="273"/>
      <c r="D416" s="254">
        <v>0</v>
      </c>
      <c r="E416" s="254">
        <v>0</v>
      </c>
      <c r="F416" s="254">
        <f>F435</f>
        <v>53.4</v>
      </c>
      <c r="G416" s="254">
        <f t="shared" si="277"/>
        <v>53.4</v>
      </c>
      <c r="J416" s="1"/>
    </row>
    <row r="417" spans="1:14" x14ac:dyDescent="0.35">
      <c r="A417" s="273"/>
      <c r="B417" s="273" t="s">
        <v>1039</v>
      </c>
      <c r="C417" s="273"/>
      <c r="D417" s="254">
        <f>D437</f>
        <v>-138095</v>
      </c>
      <c r="E417" s="254">
        <f t="shared" ref="E417:F417" si="280">E437</f>
        <v>-141147.54999999999</v>
      </c>
      <c r="F417" s="254">
        <f t="shared" si="280"/>
        <v>-319247.92</v>
      </c>
      <c r="G417" s="254">
        <f t="shared" si="277"/>
        <v>-178100.37</v>
      </c>
      <c r="J417" s="1"/>
    </row>
    <row r="418" spans="1:14" x14ac:dyDescent="0.35">
      <c r="A418" s="273"/>
      <c r="B418" s="273" t="s">
        <v>1045</v>
      </c>
      <c r="C418" s="273"/>
      <c r="D418" s="254">
        <f>D441</f>
        <v>-18293760</v>
      </c>
      <c r="E418" s="254">
        <f t="shared" ref="E418:F418" si="281">E441</f>
        <v>-18293760</v>
      </c>
      <c r="F418" s="254">
        <f t="shared" si="281"/>
        <v>-18746714.879999999</v>
      </c>
      <c r="G418" s="254">
        <f t="shared" si="277"/>
        <v>-452954.87999999896</v>
      </c>
      <c r="J418" s="1"/>
    </row>
    <row r="419" spans="1:14" x14ac:dyDescent="0.35">
      <c r="A419" s="273"/>
      <c r="B419" s="273" t="s">
        <v>1042</v>
      </c>
      <c r="C419" s="273"/>
      <c r="D419" s="254">
        <f>D443</f>
        <v>-136644</v>
      </c>
      <c r="E419" s="254">
        <f t="shared" ref="E419" si="282">E443</f>
        <v>-136644</v>
      </c>
      <c r="F419" s="254">
        <f>F443</f>
        <v>-191474.17</v>
      </c>
      <c r="G419" s="254">
        <f t="shared" si="277"/>
        <v>-54830.170000000013</v>
      </c>
      <c r="J419" s="1"/>
    </row>
    <row r="420" spans="1:14" x14ac:dyDescent="0.35">
      <c r="A420" s="274"/>
      <c r="B420" s="274" t="s">
        <v>88</v>
      </c>
      <c r="C420" s="274"/>
      <c r="D420" s="255">
        <f>SUM(D421:D427)</f>
        <v>-30473248</v>
      </c>
      <c r="E420" s="255">
        <f t="shared" ref="E420:F420" si="283">SUM(E421:E427)</f>
        <v>-35757983.140000001</v>
      </c>
      <c r="F420" s="255">
        <f t="shared" si="283"/>
        <v>-32683252.82</v>
      </c>
      <c r="G420" s="255">
        <f t="shared" si="277"/>
        <v>3074730.3200000003</v>
      </c>
      <c r="J420" s="1"/>
    </row>
    <row r="421" spans="1:14" x14ac:dyDescent="0.35">
      <c r="A421" s="273"/>
      <c r="B421" s="273"/>
      <c r="C421" s="273" t="s">
        <v>1194</v>
      </c>
      <c r="D421" s="254">
        <f>D438</f>
        <v>0</v>
      </c>
      <c r="E421" s="254">
        <f>E438</f>
        <v>-141147.54999999999</v>
      </c>
      <c r="F421" s="254">
        <f>F438</f>
        <v>0</v>
      </c>
      <c r="G421" s="254">
        <f>F421-E421</f>
        <v>141147.54999999999</v>
      </c>
      <c r="J421" s="1"/>
    </row>
    <row r="422" spans="1:14" x14ac:dyDescent="0.35">
      <c r="A422" s="273"/>
      <c r="B422" s="273"/>
      <c r="C422" s="273" t="s">
        <v>739</v>
      </c>
      <c r="D422" s="254">
        <f t="shared" ref="D422:F423" si="284">D429+D439</f>
        <v>-5225124</v>
      </c>
      <c r="E422" s="254">
        <f t="shared" si="284"/>
        <v>-5357324</v>
      </c>
      <c r="F422" s="254">
        <f t="shared" si="284"/>
        <v>-5336794.43</v>
      </c>
      <c r="G422" s="254">
        <f t="shared" ref="G422:G427" si="285">F422-E422</f>
        <v>20529.570000000298</v>
      </c>
      <c r="J422" s="1"/>
    </row>
    <row r="423" spans="1:14" x14ac:dyDescent="0.35">
      <c r="A423" s="273"/>
      <c r="B423" s="273"/>
      <c r="C423" s="273" t="s">
        <v>740</v>
      </c>
      <c r="D423" s="254">
        <f t="shared" si="284"/>
        <v>-1345516</v>
      </c>
      <c r="E423" s="254">
        <f t="shared" si="284"/>
        <v>-2010307.78</v>
      </c>
      <c r="F423" s="254">
        <f t="shared" si="284"/>
        <v>-1494677.6600000001</v>
      </c>
      <c r="G423" s="254">
        <f t="shared" si="285"/>
        <v>515630.11999999988</v>
      </c>
      <c r="J423" s="1"/>
    </row>
    <row r="424" spans="1:14" x14ac:dyDescent="0.35">
      <c r="A424" s="273"/>
      <c r="B424" s="273"/>
      <c r="C424" s="273" t="s">
        <v>1033</v>
      </c>
      <c r="D424" s="254">
        <f>D431</f>
        <v>-291000</v>
      </c>
      <c r="E424" s="254">
        <f t="shared" ref="E424:F424" si="286">E431</f>
        <v>-323877</v>
      </c>
      <c r="F424" s="254">
        <f t="shared" si="286"/>
        <v>-281924.01</v>
      </c>
      <c r="G424" s="254">
        <f t="shared" si="285"/>
        <v>41952.989999999991</v>
      </c>
      <c r="J424" s="1"/>
    </row>
    <row r="425" spans="1:14" x14ac:dyDescent="0.35">
      <c r="A425" s="273"/>
      <c r="B425" s="273"/>
      <c r="C425" s="273" t="s">
        <v>1043</v>
      </c>
      <c r="D425" s="254">
        <f>D432</f>
        <v>-190988</v>
      </c>
      <c r="E425" s="254">
        <f t="shared" ref="E425:F425" si="287">E432</f>
        <v>-381976.2</v>
      </c>
      <c r="F425" s="254">
        <f t="shared" si="287"/>
        <v>0</v>
      </c>
      <c r="G425" s="254">
        <f t="shared" si="285"/>
        <v>381976.2</v>
      </c>
      <c r="J425" s="1"/>
    </row>
    <row r="426" spans="1:14" x14ac:dyDescent="0.35">
      <c r="A426" s="273"/>
      <c r="B426" s="273"/>
      <c r="C426" s="273" t="s">
        <v>1034</v>
      </c>
      <c r="D426" s="254">
        <f>D433</f>
        <v>-4990216</v>
      </c>
      <c r="E426" s="254">
        <f t="shared" ref="E426:F426" si="288">E433</f>
        <v>-9112946.6099999994</v>
      </c>
      <c r="F426" s="254">
        <f t="shared" si="288"/>
        <v>-6616241.8899999997</v>
      </c>
      <c r="G426" s="254">
        <f t="shared" si="285"/>
        <v>2496704.7199999997</v>
      </c>
      <c r="J426" s="1"/>
    </row>
    <row r="427" spans="1:14" x14ac:dyDescent="0.35">
      <c r="A427" s="273"/>
      <c r="B427" s="273"/>
      <c r="C427" s="273" t="s">
        <v>1035</v>
      </c>
      <c r="D427" s="254">
        <f>D442+D443</f>
        <v>-18430404</v>
      </c>
      <c r="E427" s="254">
        <f>E442+E443</f>
        <v>-18430404</v>
      </c>
      <c r="F427" s="254">
        <f>F442+F443+F434+F436</f>
        <v>-18953614.830000002</v>
      </c>
      <c r="G427" s="254">
        <f t="shared" si="285"/>
        <v>-523210.83000000194</v>
      </c>
      <c r="J427" s="1"/>
    </row>
    <row r="428" spans="1:14" x14ac:dyDescent="0.35">
      <c r="A428" s="274"/>
      <c r="B428" s="274"/>
      <c r="C428" s="274" t="s">
        <v>1037</v>
      </c>
      <c r="D428" s="255">
        <f>SUM(D429:D433)</f>
        <v>-11904749</v>
      </c>
      <c r="E428" s="255">
        <f>SUM(E429:E434)</f>
        <v>-17186431.59</v>
      </c>
      <c r="F428" s="255">
        <f>SUM(F429:F434)</f>
        <v>-13425869.25</v>
      </c>
      <c r="G428" s="255">
        <f>F428-E428</f>
        <v>3760562.34</v>
      </c>
      <c r="J428" s="1">
        <f>3478695.34-3760562.34</f>
        <v>-281867</v>
      </c>
    </row>
    <row r="429" spans="1:14" x14ac:dyDescent="0.35">
      <c r="A429" s="273"/>
      <c r="B429" s="273"/>
      <c r="C429" s="273" t="s">
        <v>739</v>
      </c>
      <c r="D429" s="254">
        <v>-5092249</v>
      </c>
      <c r="E429" s="254">
        <f>D429-265075</f>
        <v>-5357324</v>
      </c>
      <c r="F429" s="254">
        <v>-5110082.55</v>
      </c>
      <c r="G429" s="254">
        <f t="shared" ref="G429:G432" si="289">F429-E429</f>
        <v>247241.45000000019</v>
      </c>
      <c r="I429" s="248">
        <f>D429-E429</f>
        <v>265075</v>
      </c>
      <c r="J429" s="1"/>
      <c r="L429" s="267" t="s">
        <v>1161</v>
      </c>
      <c r="N429" s="267">
        <f>5092249-5147249</f>
        <v>-55000</v>
      </c>
    </row>
    <row r="430" spans="1:14" x14ac:dyDescent="0.35">
      <c r="A430" s="273"/>
      <c r="B430" s="273"/>
      <c r="C430" s="273" t="s">
        <v>740</v>
      </c>
      <c r="D430" s="254">
        <v>-1340296</v>
      </c>
      <c r="E430" s="254">
        <f>D430-659605-10406.78</f>
        <v>-2010307.78</v>
      </c>
      <c r="F430" s="254">
        <v>-1402141.62</v>
      </c>
      <c r="G430" s="254">
        <f t="shared" si="289"/>
        <v>608166.15999999992</v>
      </c>
      <c r="I430" s="248">
        <f t="shared" ref="I430:I433" si="290">D430-E430</f>
        <v>670011.78</v>
      </c>
      <c r="J430" s="1" t="s">
        <v>1180</v>
      </c>
      <c r="L430" s="267" t="s">
        <v>1179</v>
      </c>
      <c r="N430" s="267">
        <f>1340296-1539461</f>
        <v>-199165</v>
      </c>
    </row>
    <row r="431" spans="1:14" x14ac:dyDescent="0.35">
      <c r="A431" s="273"/>
      <c r="B431" s="273"/>
      <c r="C431" s="273" t="s">
        <v>1033</v>
      </c>
      <c r="D431" s="254">
        <v>-291000</v>
      </c>
      <c r="E431" s="254">
        <f>D431-32877</f>
        <v>-323877</v>
      </c>
      <c r="F431" s="254">
        <v>-281924.01</v>
      </c>
      <c r="G431" s="254">
        <f t="shared" si="289"/>
        <v>41952.989999999991</v>
      </c>
      <c r="I431" s="248">
        <f t="shared" si="290"/>
        <v>32877</v>
      </c>
      <c r="J431" s="1"/>
    </row>
    <row r="432" spans="1:14" x14ac:dyDescent="0.35">
      <c r="A432" s="273"/>
      <c r="B432" s="273"/>
      <c r="C432" s="273" t="s">
        <v>1043</v>
      </c>
      <c r="D432" s="254">
        <v>-190988</v>
      </c>
      <c r="E432" s="254">
        <f>D432-190988.2</f>
        <v>-381976.2</v>
      </c>
      <c r="F432" s="254">
        <v>0</v>
      </c>
      <c r="G432" s="254">
        <f t="shared" si="289"/>
        <v>381976.2</v>
      </c>
      <c r="H432" s="248" t="s">
        <v>1046</v>
      </c>
      <c r="I432" s="248">
        <f t="shared" si="290"/>
        <v>190988.2</v>
      </c>
      <c r="J432" s="1"/>
    </row>
    <row r="433" spans="1:14" x14ac:dyDescent="0.35">
      <c r="A433" s="273"/>
      <c r="B433" s="273"/>
      <c r="C433" s="273" t="s">
        <v>1034</v>
      </c>
      <c r="D433" s="254">
        <f>-5181204+190988</f>
        <v>-4990216</v>
      </c>
      <c r="E433" s="254">
        <f>D433-4122730.61</f>
        <v>-9112946.6099999994</v>
      </c>
      <c r="F433" s="254">
        <f>-6616241.89</f>
        <v>-6616241.8899999997</v>
      </c>
      <c r="G433" s="254">
        <f t="shared" ref="G433:G434" si="291">F433-E433</f>
        <v>2496704.7199999997</v>
      </c>
      <c r="I433" s="248">
        <f t="shared" si="290"/>
        <v>4122730.6099999994</v>
      </c>
      <c r="J433" s="1" t="s">
        <v>1162</v>
      </c>
      <c r="L433" s="267" t="s">
        <v>1160</v>
      </c>
      <c r="N433" s="267">
        <f>4990216-4736051</f>
        <v>254165</v>
      </c>
    </row>
    <row r="434" spans="1:14" x14ac:dyDescent="0.35">
      <c r="A434" s="273"/>
      <c r="B434" s="273"/>
      <c r="C434" s="273" t="s">
        <v>742</v>
      </c>
      <c r="D434" s="254">
        <v>0</v>
      </c>
      <c r="E434" s="254">
        <v>0</v>
      </c>
      <c r="F434" s="254">
        <v>-15479.18</v>
      </c>
      <c r="G434" s="254">
        <f t="shared" si="291"/>
        <v>-15479.18</v>
      </c>
      <c r="J434" s="1"/>
      <c r="N434" s="267">
        <f>SUM(N429:N433)</f>
        <v>0</v>
      </c>
    </row>
    <row r="435" spans="1:14" s="64" customFormat="1" x14ac:dyDescent="0.35">
      <c r="A435" s="274"/>
      <c r="B435" s="274"/>
      <c r="C435" s="274" t="s">
        <v>1038</v>
      </c>
      <c r="D435" s="255">
        <f>D436</f>
        <v>0</v>
      </c>
      <c r="E435" s="255">
        <f>E436</f>
        <v>0</v>
      </c>
      <c r="F435" s="255">
        <f>F436</f>
        <v>53.4</v>
      </c>
      <c r="G435" s="255">
        <f>F435-E435</f>
        <v>53.4</v>
      </c>
      <c r="H435" s="248"/>
      <c r="I435" s="248"/>
      <c r="J435" s="1"/>
    </row>
    <row r="436" spans="1:14" x14ac:dyDescent="0.35">
      <c r="A436" s="273"/>
      <c r="B436" s="273"/>
      <c r="C436" s="273" t="s">
        <v>742</v>
      </c>
      <c r="D436" s="254">
        <v>0</v>
      </c>
      <c r="E436" s="254">
        <f t="shared" ref="E436" si="292">D436</f>
        <v>0</v>
      </c>
      <c r="F436" s="254">
        <v>53.4</v>
      </c>
      <c r="G436" s="254">
        <f t="shared" ref="G436" si="293">F436-E436</f>
        <v>53.4</v>
      </c>
      <c r="J436" s="1"/>
    </row>
    <row r="437" spans="1:14" x14ac:dyDescent="0.35">
      <c r="A437" s="274"/>
      <c r="B437" s="274"/>
      <c r="C437" s="274" t="s">
        <v>1039</v>
      </c>
      <c r="D437" s="255">
        <f>SUM(D439:D440)</f>
        <v>-138095</v>
      </c>
      <c r="E437" s="255">
        <f>SUM(E438:E440)</f>
        <v>-141147.54999999999</v>
      </c>
      <c r="F437" s="255">
        <f t="shared" ref="F437:G437" si="294">SUM(F438:F440)</f>
        <v>-319247.92</v>
      </c>
      <c r="G437" s="255">
        <f t="shared" si="294"/>
        <v>-178100.37</v>
      </c>
      <c r="I437" s="248">
        <f>D437-E437</f>
        <v>3052.5499999999884</v>
      </c>
      <c r="J437" s="1"/>
    </row>
    <row r="438" spans="1:14" x14ac:dyDescent="0.35">
      <c r="A438" s="273"/>
      <c r="B438" s="273"/>
      <c r="C438" s="273" t="s">
        <v>1194</v>
      </c>
      <c r="D438" s="254"/>
      <c r="E438" s="254">
        <v>-141147.54999999999</v>
      </c>
      <c r="F438" s="254"/>
      <c r="G438" s="254">
        <f>F438-E438</f>
        <v>141147.54999999999</v>
      </c>
      <c r="J438" s="1"/>
    </row>
    <row r="439" spans="1:14" x14ac:dyDescent="0.35">
      <c r="A439" s="273"/>
      <c r="B439" s="273"/>
      <c r="C439" s="273" t="s">
        <v>739</v>
      </c>
      <c r="D439" s="254">
        <v>-132875</v>
      </c>
      <c r="E439" s="254">
        <f>D439+132875</f>
        <v>0</v>
      </c>
      <c r="F439" s="254">
        <v>-226711.88</v>
      </c>
      <c r="G439" s="254">
        <f t="shared" ref="G439:G440" si="295">F439-E439</f>
        <v>-226711.88</v>
      </c>
      <c r="J439" s="1"/>
    </row>
    <row r="440" spans="1:14" x14ac:dyDescent="0.35">
      <c r="A440" s="273"/>
      <c r="B440" s="273"/>
      <c r="C440" s="273" t="s">
        <v>740</v>
      </c>
      <c r="D440" s="254">
        <v>-5220</v>
      </c>
      <c r="E440" s="254">
        <f>D440+5220</f>
        <v>0</v>
      </c>
      <c r="F440" s="254">
        <v>-92536.04</v>
      </c>
      <c r="G440" s="254">
        <f t="shared" si="295"/>
        <v>-92536.04</v>
      </c>
      <c r="J440" s="1"/>
    </row>
    <row r="441" spans="1:14" x14ac:dyDescent="0.35">
      <c r="A441" s="274"/>
      <c r="B441" s="274"/>
      <c r="C441" s="274" t="s">
        <v>1045</v>
      </c>
      <c r="D441" s="255">
        <f>SUM(D442:D442)</f>
        <v>-18293760</v>
      </c>
      <c r="E441" s="255">
        <f>SUM(E442:E442)</f>
        <v>-18293760</v>
      </c>
      <c r="F441" s="255">
        <f>SUM(F442:F442)</f>
        <v>-18746714.879999999</v>
      </c>
      <c r="G441" s="255">
        <f>F441-E441</f>
        <v>-452954.87999999896</v>
      </c>
      <c r="J441" s="1"/>
    </row>
    <row r="442" spans="1:14" x14ac:dyDescent="0.35">
      <c r="A442" s="273"/>
      <c r="B442" s="273"/>
      <c r="C442" s="273" t="s">
        <v>742</v>
      </c>
      <c r="D442" s="254">
        <v>-18293760</v>
      </c>
      <c r="E442" s="254">
        <f t="shared" ref="E442" si="296">D442</f>
        <v>-18293760</v>
      </c>
      <c r="F442" s="254">
        <v>-18746714.879999999</v>
      </c>
      <c r="G442" s="254">
        <f t="shared" ref="G442:G450" si="297">F442-E442</f>
        <v>-452954.87999999896</v>
      </c>
      <c r="J442" s="1"/>
    </row>
    <row r="443" spans="1:14" s="64" customFormat="1" x14ac:dyDescent="0.35">
      <c r="A443" s="274"/>
      <c r="B443" s="274"/>
      <c r="C443" s="274" t="s">
        <v>1042</v>
      </c>
      <c r="D443" s="255">
        <v>-136644</v>
      </c>
      <c r="E443" s="255">
        <f>D443</f>
        <v>-136644</v>
      </c>
      <c r="F443" s="255">
        <v>-191474.17</v>
      </c>
      <c r="G443" s="255">
        <f>F443-E443</f>
        <v>-54830.170000000013</v>
      </c>
      <c r="H443" s="248"/>
      <c r="I443" s="248"/>
      <c r="J443" s="1"/>
    </row>
    <row r="444" spans="1:14" s="64" customFormat="1" ht="15.5" x14ac:dyDescent="0.35">
      <c r="A444" s="275" t="s">
        <v>824</v>
      </c>
      <c r="B444" s="274"/>
      <c r="C444" s="274"/>
      <c r="D444" s="255">
        <f>SUM(D445:D447)</f>
        <v>-46134757</v>
      </c>
      <c r="E444" s="255">
        <f>SUM(E445:E447)</f>
        <v>-50865227.259999998</v>
      </c>
      <c r="F444" s="255">
        <f>SUM(F445:F447)</f>
        <v>-49705671.520000003</v>
      </c>
      <c r="G444" s="255">
        <f t="shared" si="297"/>
        <v>1159555.7399999946</v>
      </c>
      <c r="H444" s="248"/>
      <c r="I444" s="248"/>
      <c r="J444" s="1"/>
    </row>
    <row r="445" spans="1:14" ht="15.5" x14ac:dyDescent="0.35">
      <c r="A445" s="276"/>
      <c r="B445" s="273" t="s">
        <v>1037</v>
      </c>
      <c r="C445" s="273"/>
      <c r="D445" s="254">
        <f>D456+D469+D480</f>
        <v>-41890914</v>
      </c>
      <c r="E445" s="254">
        <f>E456+E469+E480</f>
        <v>-46515139.359999999</v>
      </c>
      <c r="F445" s="254">
        <f>F456+F469+F480</f>
        <v>-45568410.520000003</v>
      </c>
      <c r="G445" s="254">
        <f t="shared" si="297"/>
        <v>946728.83999999613</v>
      </c>
      <c r="J445" s="1"/>
    </row>
    <row r="446" spans="1:14" x14ac:dyDescent="0.35">
      <c r="A446" s="273"/>
      <c r="B446" s="273" t="s">
        <v>1039</v>
      </c>
      <c r="C446" s="273"/>
      <c r="D446" s="254">
        <f>D471+D482</f>
        <v>-16393</v>
      </c>
      <c r="E446" s="254">
        <f>E471+E482</f>
        <v>-122637.9</v>
      </c>
      <c r="F446" s="254">
        <f>F471+F482</f>
        <v>-8620.65</v>
      </c>
      <c r="G446" s="254">
        <f t="shared" si="297"/>
        <v>114017.25</v>
      </c>
      <c r="J446" s="1"/>
    </row>
    <row r="447" spans="1:14" x14ac:dyDescent="0.35">
      <c r="A447" s="273"/>
      <c r="B447" s="273" t="s">
        <v>1045</v>
      </c>
      <c r="C447" s="273"/>
      <c r="D447" s="254">
        <f>D460</f>
        <v>-4227450</v>
      </c>
      <c r="E447" s="254">
        <f t="shared" ref="E447" si="298">E460</f>
        <v>-4227450</v>
      </c>
      <c r="F447" s="254">
        <f>F460</f>
        <v>-4128640.35</v>
      </c>
      <c r="G447" s="254">
        <f t="shared" si="297"/>
        <v>98809.649999999907</v>
      </c>
      <c r="J447" s="1"/>
    </row>
    <row r="448" spans="1:14" s="64" customFormat="1" ht="15.5" x14ac:dyDescent="0.35">
      <c r="A448" s="277" t="s">
        <v>1077</v>
      </c>
      <c r="B448" s="274"/>
      <c r="C448" s="274"/>
      <c r="D448" s="255">
        <f>SUM(D449:D450)</f>
        <v>-42685361</v>
      </c>
      <c r="E448" s="255">
        <f>SUM(E449:E450)</f>
        <v>-46938495.350000001</v>
      </c>
      <c r="F448" s="255">
        <f>SUM(F449:F450)</f>
        <v>-46056823.900000006</v>
      </c>
      <c r="G448" s="255">
        <f t="shared" si="297"/>
        <v>881671.44999999553</v>
      </c>
      <c r="H448" s="248"/>
      <c r="I448" s="248"/>
      <c r="J448" s="1"/>
    </row>
    <row r="449" spans="1:10" x14ac:dyDescent="0.35">
      <c r="A449" s="273"/>
      <c r="B449" s="273" t="s">
        <v>1037</v>
      </c>
      <c r="C449" s="273"/>
      <c r="D449" s="254">
        <f>D456</f>
        <v>-38457911</v>
      </c>
      <c r="E449" s="254">
        <f t="shared" ref="E449:F449" si="299">E456</f>
        <v>-42711045.350000001</v>
      </c>
      <c r="F449" s="254">
        <f t="shared" si="299"/>
        <v>-41928183.550000004</v>
      </c>
      <c r="G449" s="254">
        <f t="shared" si="297"/>
        <v>782861.79999999702</v>
      </c>
      <c r="J449" s="1"/>
    </row>
    <row r="450" spans="1:10" x14ac:dyDescent="0.35">
      <c r="A450" s="273"/>
      <c r="B450" s="273" t="s">
        <v>1045</v>
      </c>
      <c r="C450" s="273"/>
      <c r="D450" s="254">
        <f>D460</f>
        <v>-4227450</v>
      </c>
      <c r="E450" s="254">
        <f t="shared" ref="E450:F450" si="300">E460</f>
        <v>-4227450</v>
      </c>
      <c r="F450" s="254">
        <f t="shared" si="300"/>
        <v>-4128640.35</v>
      </c>
      <c r="G450" s="254">
        <f t="shared" si="297"/>
        <v>98809.649999999907</v>
      </c>
      <c r="J450" s="1"/>
    </row>
    <row r="451" spans="1:10" x14ac:dyDescent="0.35">
      <c r="A451" s="274"/>
      <c r="B451" s="274" t="s">
        <v>88</v>
      </c>
      <c r="C451" s="274"/>
      <c r="D451" s="255">
        <f>SUM(D452:D455)</f>
        <v>-42685361</v>
      </c>
      <c r="E451" s="255">
        <f t="shared" ref="E451:F451" si="301">SUM(E452:E455)</f>
        <v>-46938495.350000001</v>
      </c>
      <c r="F451" s="255">
        <f t="shared" si="301"/>
        <v>-46056823.900000006</v>
      </c>
      <c r="G451" s="255">
        <f>F451-E451</f>
        <v>881671.44999999553</v>
      </c>
      <c r="J451" s="1"/>
    </row>
    <row r="452" spans="1:10" x14ac:dyDescent="0.35">
      <c r="A452" s="273"/>
      <c r="B452" s="273"/>
      <c r="C452" s="273" t="s">
        <v>1033</v>
      </c>
      <c r="D452" s="254">
        <f>D457</f>
        <v>-325100</v>
      </c>
      <c r="E452" s="254">
        <f t="shared" ref="E452:F452" si="302">E457</f>
        <v>-326000</v>
      </c>
      <c r="F452" s="254">
        <f t="shared" si="302"/>
        <v>-326000</v>
      </c>
      <c r="G452" s="254">
        <f t="shared" ref="G452:G455" si="303">F452-E452</f>
        <v>0</v>
      </c>
      <c r="J452" s="1"/>
    </row>
    <row r="453" spans="1:10" x14ac:dyDescent="0.35">
      <c r="A453" s="273"/>
      <c r="B453" s="273"/>
      <c r="C453" s="273" t="s">
        <v>1043</v>
      </c>
      <c r="D453" s="254">
        <f>D458</f>
        <v>-1931033</v>
      </c>
      <c r="E453" s="254">
        <f t="shared" ref="E453:F453" si="304">E458</f>
        <v>-3769826.35</v>
      </c>
      <c r="F453" s="254">
        <f t="shared" si="304"/>
        <v>-3655626.35</v>
      </c>
      <c r="G453" s="254">
        <f t="shared" si="303"/>
        <v>114200</v>
      </c>
      <c r="J453" s="1"/>
    </row>
    <row r="454" spans="1:10" x14ac:dyDescent="0.35">
      <c r="A454" s="273"/>
      <c r="B454" s="273"/>
      <c r="C454" s="273" t="s">
        <v>1034</v>
      </c>
      <c r="D454" s="254">
        <f>D459</f>
        <v>-36201778</v>
      </c>
      <c r="E454" s="254">
        <f t="shared" ref="E454:F454" si="305">E459</f>
        <v>-38615219</v>
      </c>
      <c r="F454" s="254">
        <f t="shared" si="305"/>
        <v>-37946557.200000003</v>
      </c>
      <c r="G454" s="254">
        <f t="shared" si="303"/>
        <v>668661.79999999702</v>
      </c>
      <c r="J454" s="1"/>
    </row>
    <row r="455" spans="1:10" x14ac:dyDescent="0.35">
      <c r="A455" s="273"/>
      <c r="B455" s="273"/>
      <c r="C455" s="273" t="s">
        <v>1035</v>
      </c>
      <c r="D455" s="254">
        <f>D461</f>
        <v>-4227450</v>
      </c>
      <c r="E455" s="254">
        <f t="shared" ref="E455:F455" si="306">E461</f>
        <v>-4227450</v>
      </c>
      <c r="F455" s="254">
        <f t="shared" si="306"/>
        <v>-4128640.35</v>
      </c>
      <c r="G455" s="254">
        <f t="shared" si="303"/>
        <v>98809.649999999907</v>
      </c>
      <c r="J455" s="1"/>
    </row>
    <row r="456" spans="1:10" x14ac:dyDescent="0.35">
      <c r="A456" s="274"/>
      <c r="B456" s="274"/>
      <c r="C456" s="274" t="s">
        <v>1037</v>
      </c>
      <c r="D456" s="255">
        <f>SUM(D457:D459)</f>
        <v>-38457911</v>
      </c>
      <c r="E456" s="255">
        <f t="shared" ref="E456:F456" si="307">SUM(E457:E459)</f>
        <v>-42711045.350000001</v>
      </c>
      <c r="F456" s="255">
        <f t="shared" si="307"/>
        <v>-41928183.550000004</v>
      </c>
      <c r="G456" s="255">
        <f>F456-E456</f>
        <v>782861.79999999702</v>
      </c>
      <c r="J456" s="1"/>
    </row>
    <row r="457" spans="1:10" x14ac:dyDescent="0.35">
      <c r="A457" s="273"/>
      <c r="B457" s="273"/>
      <c r="C457" s="273" t="s">
        <v>1033</v>
      </c>
      <c r="D457" s="254">
        <v>-325100</v>
      </c>
      <c r="E457" s="254">
        <f>D457-900</f>
        <v>-326000</v>
      </c>
      <c r="F457" s="254">
        <v>-326000</v>
      </c>
      <c r="G457" s="254">
        <f t="shared" ref="G457:G458" si="308">F457-E457</f>
        <v>0</v>
      </c>
      <c r="I457" s="248">
        <f>D457-E457</f>
        <v>900</v>
      </c>
      <c r="J457" s="1"/>
    </row>
    <row r="458" spans="1:10" x14ac:dyDescent="0.35">
      <c r="A458" s="273"/>
      <c r="B458" s="273"/>
      <c r="C458" s="273" t="s">
        <v>1043</v>
      </c>
      <c r="D458" s="254">
        <v>-1931033</v>
      </c>
      <c r="E458" s="254">
        <f>D458-1838793.35</f>
        <v>-3769826.35</v>
      </c>
      <c r="F458" s="254">
        <v>-3655626.35</v>
      </c>
      <c r="G458" s="254">
        <f t="shared" si="308"/>
        <v>114200</v>
      </c>
      <c r="H458" s="248" t="s">
        <v>1078</v>
      </c>
      <c r="I458" s="248">
        <f t="shared" ref="I458:I459" si="309">D458-E458</f>
        <v>1838793.35</v>
      </c>
      <c r="J458" s="1"/>
    </row>
    <row r="459" spans="1:10" x14ac:dyDescent="0.35">
      <c r="A459" s="273"/>
      <c r="B459" s="273"/>
      <c r="C459" s="273" t="s">
        <v>1034</v>
      </c>
      <c r="D459" s="254">
        <f>-38132811+1931033</f>
        <v>-36201778</v>
      </c>
      <c r="E459" s="254">
        <f>D459-2413441</f>
        <v>-38615219</v>
      </c>
      <c r="F459" s="254">
        <v>-37946557.200000003</v>
      </c>
      <c r="G459" s="254">
        <f t="shared" ref="G459" si="310">F459-E459</f>
        <v>668661.79999999702</v>
      </c>
      <c r="I459" s="248">
        <f t="shared" si="309"/>
        <v>2413441</v>
      </c>
      <c r="J459" s="1"/>
    </row>
    <row r="460" spans="1:10" x14ac:dyDescent="0.35">
      <c r="A460" s="274"/>
      <c r="B460" s="274"/>
      <c r="C460" s="274" t="s">
        <v>1045</v>
      </c>
      <c r="D460" s="255">
        <f>SUM(D461:D461)</f>
        <v>-4227450</v>
      </c>
      <c r="E460" s="255">
        <f>SUM(E461:E461)</f>
        <v>-4227450</v>
      </c>
      <c r="F460" s="255">
        <f>SUM(F461:F461)</f>
        <v>-4128640.35</v>
      </c>
      <c r="G460" s="255">
        <f>F460-E460</f>
        <v>98809.649999999907</v>
      </c>
      <c r="J460" s="1"/>
    </row>
    <row r="461" spans="1:10" x14ac:dyDescent="0.35">
      <c r="A461" s="273"/>
      <c r="B461" s="273"/>
      <c r="C461" s="273" t="s">
        <v>742</v>
      </c>
      <c r="D461" s="254">
        <f>-2798250-1429200</f>
        <v>-4227450</v>
      </c>
      <c r="E461" s="254">
        <f t="shared" ref="E461" si="311">D461</f>
        <v>-4227450</v>
      </c>
      <c r="F461" s="254">
        <v>-4128640.35</v>
      </c>
      <c r="G461" s="254">
        <f t="shared" ref="G461" si="312">F461-E461</f>
        <v>98809.649999999907</v>
      </c>
      <c r="J461" s="1"/>
    </row>
    <row r="462" spans="1:10" s="64" customFormat="1" ht="15" x14ac:dyDescent="0.35">
      <c r="A462" s="283" t="s">
        <v>1079</v>
      </c>
      <c r="B462" s="274"/>
      <c r="C462" s="274"/>
      <c r="D462" s="255">
        <f>SUM(D463:D464)</f>
        <v>-367393</v>
      </c>
      <c r="E462" s="255">
        <f t="shared" ref="E462:F462" si="313">SUM(E463:E464)</f>
        <v>-400425.06</v>
      </c>
      <c r="F462" s="255">
        <f t="shared" si="313"/>
        <v>-359620.65</v>
      </c>
      <c r="G462" s="255">
        <f>F462-E462</f>
        <v>40804.409999999974</v>
      </c>
      <c r="H462" s="248"/>
      <c r="I462" s="248"/>
      <c r="J462" s="1"/>
    </row>
    <row r="463" spans="1:10" x14ac:dyDescent="0.35">
      <c r="A463" s="273"/>
      <c r="B463" s="273" t="s">
        <v>1037</v>
      </c>
      <c r="C463" s="273"/>
      <c r="D463" s="254">
        <f>D469</f>
        <v>-351000</v>
      </c>
      <c r="E463" s="254">
        <f t="shared" ref="E463:F463" si="314">E469</f>
        <v>-351000</v>
      </c>
      <c r="F463" s="254">
        <f t="shared" si="314"/>
        <v>-351000</v>
      </c>
      <c r="G463" s="254">
        <f t="shared" ref="G463:G464" si="315">F463-E463</f>
        <v>0</v>
      </c>
      <c r="J463" s="1"/>
    </row>
    <row r="464" spans="1:10" x14ac:dyDescent="0.35">
      <c r="A464" s="273"/>
      <c r="B464" s="273" t="s">
        <v>1039</v>
      </c>
      <c r="C464" s="273"/>
      <c r="D464" s="254">
        <f>D471</f>
        <v>-16393</v>
      </c>
      <c r="E464" s="254">
        <f t="shared" ref="E464:F464" si="316">E471</f>
        <v>-49425.06</v>
      </c>
      <c r="F464" s="254">
        <f t="shared" si="316"/>
        <v>-8620.65</v>
      </c>
      <c r="G464" s="254">
        <f t="shared" si="315"/>
        <v>40804.409999999996</v>
      </c>
      <c r="J464" s="1"/>
    </row>
    <row r="465" spans="1:10" x14ac:dyDescent="0.35">
      <c r="A465" s="274"/>
      <c r="B465" s="274" t="s">
        <v>88</v>
      </c>
      <c r="C465" s="274"/>
      <c r="D465" s="255">
        <f>SUM(D467:D468)</f>
        <v>-367393</v>
      </c>
      <c r="E465" s="255">
        <f>SUM(E466:E468)</f>
        <v>-400425.06</v>
      </c>
      <c r="F465" s="255">
        <f t="shared" ref="F465:G465" si="317">SUM(F466:F468)</f>
        <v>-359620.65</v>
      </c>
      <c r="G465" s="255">
        <f t="shared" si="317"/>
        <v>40804.409999999996</v>
      </c>
      <c r="J465" s="1"/>
    </row>
    <row r="466" spans="1:10" x14ac:dyDescent="0.35">
      <c r="A466" s="273"/>
      <c r="B466" s="273"/>
      <c r="C466" s="273" t="s">
        <v>1194</v>
      </c>
      <c r="D466" s="254">
        <f>D472</f>
        <v>0</v>
      </c>
      <c r="E466" s="254">
        <f>E472</f>
        <v>-49425.06</v>
      </c>
      <c r="F466" s="254">
        <f>F472</f>
        <v>0</v>
      </c>
      <c r="G466" s="254">
        <f>F466-E466</f>
        <v>49425.06</v>
      </c>
      <c r="J466" s="1"/>
    </row>
    <row r="467" spans="1:10" x14ac:dyDescent="0.35">
      <c r="A467" s="273"/>
      <c r="B467" s="273"/>
      <c r="C467" s="273" t="s">
        <v>740</v>
      </c>
      <c r="D467" s="254">
        <f>D473</f>
        <v>-16393</v>
      </c>
      <c r="E467" s="254">
        <f t="shared" ref="E467:F467" si="318">E473</f>
        <v>0</v>
      </c>
      <c r="F467" s="254">
        <f t="shared" si="318"/>
        <v>-8620.65</v>
      </c>
      <c r="G467" s="254">
        <f t="shared" ref="G467:G468" si="319">F467-E467</f>
        <v>-8620.65</v>
      </c>
      <c r="J467" s="1"/>
    </row>
    <row r="468" spans="1:10" x14ac:dyDescent="0.35">
      <c r="A468" s="273"/>
      <c r="B468" s="273"/>
      <c r="C468" s="273" t="s">
        <v>1034</v>
      </c>
      <c r="D468" s="254">
        <f>D470</f>
        <v>-351000</v>
      </c>
      <c r="E468" s="254">
        <f t="shared" ref="E468:F468" si="320">E470</f>
        <v>-351000</v>
      </c>
      <c r="F468" s="254">
        <f t="shared" si="320"/>
        <v>-351000</v>
      </c>
      <c r="G468" s="254">
        <f t="shared" si="319"/>
        <v>0</v>
      </c>
      <c r="J468" s="1"/>
    </row>
    <row r="469" spans="1:10" x14ac:dyDescent="0.35">
      <c r="A469" s="274"/>
      <c r="B469" s="274"/>
      <c r="C469" s="274" t="s">
        <v>1037</v>
      </c>
      <c r="D469" s="255">
        <f>SUM(D470:D470)</f>
        <v>-351000</v>
      </c>
      <c r="E469" s="255">
        <f>SUM(E470:E470)</f>
        <v>-351000</v>
      </c>
      <c r="F469" s="255">
        <f>SUM(F470:F470)</f>
        <v>-351000</v>
      </c>
      <c r="G469" s="255">
        <f>F469-E469</f>
        <v>0</v>
      </c>
      <c r="J469" s="1"/>
    </row>
    <row r="470" spans="1:10" x14ac:dyDescent="0.35">
      <c r="A470" s="273"/>
      <c r="B470" s="273"/>
      <c r="C470" s="273" t="s">
        <v>1034</v>
      </c>
      <c r="D470" s="254">
        <v>-351000</v>
      </c>
      <c r="E470" s="254">
        <f t="shared" ref="E470" si="321">D470</f>
        <v>-351000</v>
      </c>
      <c r="F470" s="254">
        <v>-351000</v>
      </c>
      <c r="G470" s="254">
        <f t="shared" ref="G470" si="322">F470-E470</f>
        <v>0</v>
      </c>
      <c r="J470" s="1"/>
    </row>
    <row r="471" spans="1:10" x14ac:dyDescent="0.35">
      <c r="A471" s="274"/>
      <c r="B471" s="274"/>
      <c r="C471" s="274" t="s">
        <v>1039</v>
      </c>
      <c r="D471" s="255">
        <f>D473+D472</f>
        <v>-16393</v>
      </c>
      <c r="E471" s="255">
        <f>E473+E472</f>
        <v>-49425.06</v>
      </c>
      <c r="F471" s="255">
        <f t="shared" ref="F471:G471" si="323">F473+F472</f>
        <v>-8620.65</v>
      </c>
      <c r="G471" s="255">
        <f t="shared" si="323"/>
        <v>40804.409999999996</v>
      </c>
      <c r="I471" s="248">
        <f>D471-E471</f>
        <v>33032.06</v>
      </c>
      <c r="J471" s="1"/>
    </row>
    <row r="472" spans="1:10" x14ac:dyDescent="0.35">
      <c r="A472" s="273"/>
      <c r="B472" s="273"/>
      <c r="C472" s="273" t="s">
        <v>1194</v>
      </c>
      <c r="D472" s="254">
        <v>0</v>
      </c>
      <c r="E472" s="254">
        <v>-49425.06</v>
      </c>
      <c r="F472" s="254">
        <v>0</v>
      </c>
      <c r="G472" s="254">
        <f>F472-E472</f>
        <v>49425.06</v>
      </c>
      <c r="J472" s="1"/>
    </row>
    <row r="473" spans="1:10" x14ac:dyDescent="0.35">
      <c r="A473" s="273"/>
      <c r="B473" s="273"/>
      <c r="C473" s="273" t="s">
        <v>740</v>
      </c>
      <c r="D473" s="254">
        <v>-16393</v>
      </c>
      <c r="E473" s="254">
        <v>0</v>
      </c>
      <c r="F473" s="254">
        <v>-8620.65</v>
      </c>
      <c r="G473" s="254">
        <f t="shared" ref="G473" si="324">F473-E473</f>
        <v>-8620.65</v>
      </c>
      <c r="J473" s="1"/>
    </row>
    <row r="474" spans="1:10" s="64" customFormat="1" ht="15" x14ac:dyDescent="0.35">
      <c r="A474" s="283" t="s">
        <v>1080</v>
      </c>
      <c r="B474" s="274"/>
      <c r="C474" s="274"/>
      <c r="D474" s="255">
        <f>SUM(D475:D476)</f>
        <v>-3082003</v>
      </c>
      <c r="E474" s="255">
        <f t="shared" ref="E474:F474" si="325">SUM(E475:E476)</f>
        <v>-3526306.8499999996</v>
      </c>
      <c r="F474" s="255">
        <f t="shared" si="325"/>
        <v>-3289226.97</v>
      </c>
      <c r="G474" s="255">
        <f>F474-E474</f>
        <v>237079.87999999942</v>
      </c>
      <c r="H474" s="248"/>
      <c r="I474" s="248"/>
      <c r="J474" s="1"/>
    </row>
    <row r="475" spans="1:10" x14ac:dyDescent="0.35">
      <c r="A475" s="273"/>
      <c r="B475" s="273" t="s">
        <v>1037</v>
      </c>
      <c r="C475" s="273"/>
      <c r="D475" s="254">
        <f>D480</f>
        <v>-3082003</v>
      </c>
      <c r="E475" s="254">
        <f t="shared" ref="E475:F475" si="326">E480</f>
        <v>-3453094.01</v>
      </c>
      <c r="F475" s="254">
        <f t="shared" si="326"/>
        <v>-3289226.97</v>
      </c>
      <c r="G475" s="254">
        <f t="shared" ref="G475:G476" si="327">F475-E475</f>
        <v>163867.03999999957</v>
      </c>
      <c r="J475" s="1"/>
    </row>
    <row r="476" spans="1:10" x14ac:dyDescent="0.35">
      <c r="A476" s="273"/>
      <c r="B476" s="273" t="s">
        <v>1039</v>
      </c>
      <c r="C476" s="273"/>
      <c r="D476" s="254">
        <f>D482</f>
        <v>0</v>
      </c>
      <c r="E476" s="254">
        <f t="shared" ref="E476:F476" si="328">E482</f>
        <v>-73212.84</v>
      </c>
      <c r="F476" s="254">
        <f t="shared" si="328"/>
        <v>0</v>
      </c>
      <c r="G476" s="254">
        <f t="shared" si="327"/>
        <v>73212.84</v>
      </c>
      <c r="J476" s="1"/>
    </row>
    <row r="477" spans="1:10" x14ac:dyDescent="0.35">
      <c r="A477" s="274"/>
      <c r="B477" s="274" t="s">
        <v>88</v>
      </c>
      <c r="C477" s="274"/>
      <c r="D477" s="255">
        <f>SUM(D479:D479)</f>
        <v>-3082003</v>
      </c>
      <c r="E477" s="255">
        <f>SUM(E478:E479)</f>
        <v>-3526306.8499999996</v>
      </c>
      <c r="F477" s="255">
        <f t="shared" ref="F477:G477" si="329">SUM(F478:F479)</f>
        <v>-3289226.97</v>
      </c>
      <c r="G477" s="255">
        <f t="shared" si="329"/>
        <v>237079.87999999957</v>
      </c>
      <c r="J477" s="1"/>
    </row>
    <row r="478" spans="1:10" x14ac:dyDescent="0.35">
      <c r="A478" s="273"/>
      <c r="B478" s="273"/>
      <c r="C478" s="273" t="s">
        <v>1194</v>
      </c>
      <c r="D478" s="254">
        <f>D483</f>
        <v>0</v>
      </c>
      <c r="E478" s="254">
        <f>E483</f>
        <v>-73212.84</v>
      </c>
      <c r="F478" s="254">
        <f>F483</f>
        <v>0</v>
      </c>
      <c r="G478" s="285">
        <f>G483</f>
        <v>73212.84</v>
      </c>
      <c r="J478" s="1"/>
    </row>
    <row r="479" spans="1:10" x14ac:dyDescent="0.35">
      <c r="A479" s="273"/>
      <c r="B479" s="273"/>
      <c r="C479" s="273" t="s">
        <v>1034</v>
      </c>
      <c r="D479" s="254">
        <f>D481</f>
        <v>-3082003</v>
      </c>
      <c r="E479" s="254">
        <f t="shared" ref="E479:F479" si="330">E481</f>
        <v>-3453094.01</v>
      </c>
      <c r="F479" s="254">
        <f t="shared" si="330"/>
        <v>-3289226.97</v>
      </c>
      <c r="G479" s="254">
        <f t="shared" ref="G479" si="331">F479-E479</f>
        <v>163867.03999999957</v>
      </c>
      <c r="J479" s="1"/>
    </row>
    <row r="480" spans="1:10" x14ac:dyDescent="0.35">
      <c r="A480" s="274"/>
      <c r="B480" s="274"/>
      <c r="C480" s="274" t="s">
        <v>1037</v>
      </c>
      <c r="D480" s="255">
        <f>SUM(D481:D481)</f>
        <v>-3082003</v>
      </c>
      <c r="E480" s="255">
        <f>SUM(E481:E481)</f>
        <v>-3453094.01</v>
      </c>
      <c r="F480" s="255">
        <f>SUM(F481:F481)</f>
        <v>-3289226.97</v>
      </c>
      <c r="G480" s="255">
        <f>F480-E480</f>
        <v>163867.03999999957</v>
      </c>
      <c r="J480" s="1"/>
    </row>
    <row r="481" spans="1:10" x14ac:dyDescent="0.35">
      <c r="A481" s="273"/>
      <c r="B481" s="273"/>
      <c r="C481" s="273" t="s">
        <v>1034</v>
      </c>
      <c r="D481" s="254">
        <v>-3082003</v>
      </c>
      <c r="E481" s="254">
        <f>D481-371091.01</f>
        <v>-3453094.01</v>
      </c>
      <c r="F481" s="254">
        <v>-3289226.97</v>
      </c>
      <c r="G481" s="254">
        <f t="shared" ref="G481" si="332">F481-E481</f>
        <v>163867.03999999957</v>
      </c>
      <c r="I481" s="248">
        <f>D481-E481</f>
        <v>371091.00999999978</v>
      </c>
      <c r="J481" s="1"/>
    </row>
    <row r="482" spans="1:10" x14ac:dyDescent="0.35">
      <c r="A482" s="274"/>
      <c r="B482" s="274"/>
      <c r="C482" s="274" t="s">
        <v>1039</v>
      </c>
      <c r="D482" s="255">
        <f>D483</f>
        <v>0</v>
      </c>
      <c r="E482" s="255">
        <f t="shared" ref="E482:G482" si="333">E483</f>
        <v>-73212.84</v>
      </c>
      <c r="F482" s="255">
        <f t="shared" si="333"/>
        <v>0</v>
      </c>
      <c r="G482" s="255">
        <f t="shared" si="333"/>
        <v>73212.84</v>
      </c>
      <c r="I482" s="248">
        <f>D482-E482</f>
        <v>73212.84</v>
      </c>
      <c r="J482" s="1"/>
    </row>
    <row r="483" spans="1:10" x14ac:dyDescent="0.35">
      <c r="A483" s="273"/>
      <c r="B483" s="273"/>
      <c r="C483" s="273" t="s">
        <v>1194</v>
      </c>
      <c r="D483" s="254">
        <v>0</v>
      </c>
      <c r="E483" s="254">
        <v>-73212.84</v>
      </c>
      <c r="F483" s="254">
        <v>0</v>
      </c>
      <c r="G483" s="254">
        <f t="shared" ref="G483" si="334">F483-E483</f>
        <v>73212.84</v>
      </c>
      <c r="J483" s="1"/>
    </row>
    <row r="484" spans="1:10" s="64" customFormat="1" x14ac:dyDescent="0.35">
      <c r="A484" s="274" t="s">
        <v>209</v>
      </c>
      <c r="B484" s="274"/>
      <c r="C484" s="274"/>
      <c r="D484" s="255">
        <f>SUM(D485:D487)</f>
        <v>-2308569</v>
      </c>
      <c r="E484" s="255">
        <f>SUM(E485:E487)</f>
        <v>-2276505.04</v>
      </c>
      <c r="F484" s="255">
        <f>SUM(F485:F487)</f>
        <v>-1671275.2799999998</v>
      </c>
      <c r="G484" s="255">
        <f>SUM(G485:G487)</f>
        <v>605229.76</v>
      </c>
      <c r="H484" s="248"/>
      <c r="I484" s="248"/>
      <c r="J484" s="1"/>
    </row>
    <row r="485" spans="1:10" x14ac:dyDescent="0.35">
      <c r="A485" s="273"/>
      <c r="B485" s="273" t="s">
        <v>1038</v>
      </c>
      <c r="C485" s="273"/>
      <c r="D485" s="254">
        <v>-2031342</v>
      </c>
      <c r="E485" s="254">
        <f>D485-25506</f>
        <v>-2056848</v>
      </c>
      <c r="F485" s="254">
        <v>-1451618.24</v>
      </c>
      <c r="G485" s="254">
        <f t="shared" ref="G485:G487" si="335">F485-E485</f>
        <v>605229.76</v>
      </c>
      <c r="J485" s="1"/>
    </row>
    <row r="486" spans="1:10" x14ac:dyDescent="0.35">
      <c r="A486" s="273"/>
      <c r="B486" s="273" t="s">
        <v>1039</v>
      </c>
      <c r="C486" s="273"/>
      <c r="D486" s="254">
        <v>-270069</v>
      </c>
      <c r="E486" s="254">
        <v>-120834.15</v>
      </c>
      <c r="F486" s="254">
        <v>-120834.15</v>
      </c>
      <c r="G486" s="254">
        <f t="shared" si="335"/>
        <v>0</v>
      </c>
      <c r="J486" s="1"/>
    </row>
    <row r="487" spans="1:10" x14ac:dyDescent="0.35">
      <c r="A487" s="273"/>
      <c r="B487" s="273" t="s">
        <v>1040</v>
      </c>
      <c r="C487" s="273"/>
      <c r="D487" s="254">
        <f>-2158-5000</f>
        <v>-7158</v>
      </c>
      <c r="E487" s="254">
        <f>-82563.67-16259.22</f>
        <v>-98822.89</v>
      </c>
      <c r="F487" s="254">
        <f>-82563.67-16259.22</f>
        <v>-98822.89</v>
      </c>
      <c r="G487" s="254">
        <f t="shared" si="335"/>
        <v>0</v>
      </c>
      <c r="J487" s="1"/>
    </row>
  </sheetData>
  <phoneticPr fontId="5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F9403-50E9-43C6-AF9D-B37F0A9328D9}">
  <sheetPr filterMode="1"/>
  <dimension ref="A1:O264"/>
  <sheetViews>
    <sheetView topLeftCell="C143" workbookViewId="0">
      <selection activeCell="J280" sqref="J280"/>
    </sheetView>
  </sheetViews>
  <sheetFormatPr defaultRowHeight="14.5" x14ac:dyDescent="0.35"/>
  <cols>
    <col min="1" max="1" width="15.81640625" hidden="1" customWidth="1"/>
    <col min="2" max="2" width="39.1796875" customWidth="1"/>
    <col min="3" max="3" width="16.7265625" style="142" bestFit="1" customWidth="1"/>
    <col min="4" max="4" width="16.1796875" style="142" bestFit="1" customWidth="1"/>
    <col min="5" max="5" width="16.7265625" style="142" bestFit="1" customWidth="1"/>
    <col min="6" max="6" width="25" style="26" hidden="1" customWidth="1"/>
    <col min="7" max="7" width="16" style="26" bestFit="1" customWidth="1"/>
    <col min="8" max="8" width="16.7265625" style="26" bestFit="1" customWidth="1"/>
    <col min="9" max="9" width="15.81640625" style="26" bestFit="1" customWidth="1"/>
    <col min="10" max="10" width="46.7265625" customWidth="1"/>
    <col min="11" max="11" width="14.26953125" bestFit="1" customWidth="1"/>
    <col min="13" max="13" width="14.26953125" bestFit="1" customWidth="1"/>
    <col min="14" max="14" width="10.7265625" bestFit="1" customWidth="1"/>
    <col min="15" max="15" width="13.26953125" customWidth="1"/>
  </cols>
  <sheetData>
    <row r="1" spans="1:15" x14ac:dyDescent="0.35">
      <c r="B1" s="22" t="s">
        <v>1186</v>
      </c>
      <c r="C1" s="149"/>
      <c r="D1" s="149"/>
      <c r="E1" s="149"/>
      <c r="F1" s="24"/>
      <c r="G1" s="149"/>
      <c r="H1" s="149"/>
      <c r="I1" s="25"/>
      <c r="J1" s="26"/>
    </row>
    <row r="2" spans="1:15" hidden="1" x14ac:dyDescent="0.35">
      <c r="A2" s="22"/>
      <c r="B2" s="23"/>
      <c r="C2" s="149"/>
      <c r="D2" s="149"/>
      <c r="E2" s="149"/>
      <c r="F2" s="24"/>
      <c r="G2" s="149"/>
      <c r="H2" s="149"/>
      <c r="I2" s="25"/>
      <c r="J2" s="26"/>
    </row>
    <row r="3" spans="1:15" s="253" customFormat="1" x14ac:dyDescent="0.35">
      <c r="A3" s="22"/>
      <c r="B3" s="259"/>
      <c r="C3" s="260">
        <f>SUBTOTAL(9,C5:C264)</f>
        <v>-299765846.22000003</v>
      </c>
      <c r="D3" s="260">
        <f>SUBTOTAL(9,D5:D264)</f>
        <v>-299765846.22097611</v>
      </c>
      <c r="E3" s="260">
        <f>SUBTOTAL(9,E5:E264)</f>
        <v>9.7608799114823341E-4</v>
      </c>
      <c r="F3" s="24"/>
      <c r="G3" s="260">
        <f>SUBTOTAL(9,G5:G264)</f>
        <v>-317197669.80000001</v>
      </c>
      <c r="H3" s="260">
        <f>SUBTOTAL(9,H5:H264)</f>
        <v>-317197669.66999996</v>
      </c>
      <c r="I3" s="260">
        <f>SUBTOTAL(9,I5:I264)</f>
        <v>-0.13000005017966032</v>
      </c>
    </row>
    <row r="4" spans="1:15" ht="26" x14ac:dyDescent="0.35">
      <c r="A4" s="27" t="s">
        <v>75</v>
      </c>
      <c r="B4" s="263" t="s">
        <v>37</v>
      </c>
      <c r="C4" s="264" t="s">
        <v>1190</v>
      </c>
      <c r="D4" s="264" t="s">
        <v>1191</v>
      </c>
      <c r="E4" s="264" t="s">
        <v>1192</v>
      </c>
      <c r="F4" s="193" t="s">
        <v>38</v>
      </c>
      <c r="G4" s="264" t="s">
        <v>937</v>
      </c>
      <c r="H4" s="264" t="s">
        <v>938</v>
      </c>
      <c r="I4" s="264" t="s">
        <v>939</v>
      </c>
      <c r="J4" s="263" t="s">
        <v>38</v>
      </c>
    </row>
    <row r="5" spans="1:15" hidden="1" x14ac:dyDescent="0.35">
      <c r="A5" t="s">
        <v>39</v>
      </c>
      <c r="B5" t="s">
        <v>719</v>
      </c>
      <c r="C5" s="25">
        <v>1441.24</v>
      </c>
      <c r="D5" s="25" t="e">
        <f>'RETA aruanne'!#REF!</f>
        <v>#REF!</v>
      </c>
      <c r="E5" s="25" t="e">
        <f t="shared" ref="E5:E102" si="0">C5-D5</f>
        <v>#REF!</v>
      </c>
      <c r="G5" s="25">
        <v>1785.65</v>
      </c>
      <c r="H5" s="25" t="e">
        <f>'RETA aruanne'!#REF!</f>
        <v>#REF!</v>
      </c>
      <c r="I5" s="25" t="e">
        <f t="shared" ref="I5:I102" si="1">G5-H5</f>
        <v>#REF!</v>
      </c>
      <c r="K5" s="26"/>
      <c r="O5" s="26"/>
    </row>
    <row r="6" spans="1:15" hidden="1" x14ac:dyDescent="0.35">
      <c r="A6" t="s">
        <v>39</v>
      </c>
      <c r="B6" t="s">
        <v>5</v>
      </c>
      <c r="C6" s="25">
        <v>48277.59</v>
      </c>
      <c r="D6" s="25" t="e">
        <f>'RETA aruanne'!#REF!</f>
        <v>#REF!</v>
      </c>
      <c r="E6" s="25" t="e">
        <f t="shared" si="0"/>
        <v>#REF!</v>
      </c>
      <c r="G6" s="25">
        <v>84978.74</v>
      </c>
      <c r="H6" s="25" t="e">
        <f>'RETA aruanne'!#REF!</f>
        <v>#REF!</v>
      </c>
      <c r="I6" s="25" t="e">
        <f t="shared" si="1"/>
        <v>#REF!</v>
      </c>
      <c r="K6" s="26"/>
      <c r="O6" s="26"/>
    </row>
    <row r="7" spans="1:15" hidden="1" x14ac:dyDescent="0.35">
      <c r="A7" t="s">
        <v>39</v>
      </c>
      <c r="B7" t="s">
        <v>799</v>
      </c>
      <c r="C7" s="25">
        <v>0</v>
      </c>
      <c r="D7" s="25" t="e">
        <f>'RETA aruanne'!#REF!</f>
        <v>#REF!</v>
      </c>
      <c r="E7" s="25" t="e">
        <f t="shared" si="0"/>
        <v>#REF!</v>
      </c>
      <c r="G7" s="25">
        <v>334.43</v>
      </c>
      <c r="H7" s="25" t="e">
        <f>'RETA aruanne'!#REF!</f>
        <v>#REF!</v>
      </c>
      <c r="I7" s="25" t="e">
        <f t="shared" si="1"/>
        <v>#REF!</v>
      </c>
      <c r="K7" s="26"/>
      <c r="O7" s="26"/>
    </row>
    <row r="8" spans="1:15" hidden="1" x14ac:dyDescent="0.35">
      <c r="A8" t="s">
        <v>39</v>
      </c>
      <c r="B8" t="s">
        <v>720</v>
      </c>
      <c r="C8" s="25">
        <v>17322.009999999998</v>
      </c>
      <c r="D8" s="25" t="e">
        <f>'RETA aruanne'!#REF!</f>
        <v>#REF!</v>
      </c>
      <c r="E8" s="25" t="e">
        <f t="shared" si="0"/>
        <v>#REF!</v>
      </c>
      <c r="G8" s="25">
        <v>71112.479999999996</v>
      </c>
      <c r="H8" s="25" t="e">
        <f>'RETA aruanne'!#REF!</f>
        <v>#REF!</v>
      </c>
      <c r="I8" s="25" t="e">
        <f t="shared" si="1"/>
        <v>#REF!</v>
      </c>
      <c r="K8" s="26"/>
      <c r="O8" s="26"/>
    </row>
    <row r="9" spans="1:15" hidden="1" x14ac:dyDescent="0.35">
      <c r="A9" t="s">
        <v>39</v>
      </c>
      <c r="B9" t="s">
        <v>41</v>
      </c>
      <c r="C9" s="25">
        <v>2.71</v>
      </c>
      <c r="D9" s="25" t="e">
        <f>'RETA aruanne'!#REF!</f>
        <v>#REF!</v>
      </c>
      <c r="E9" s="25" t="e">
        <f t="shared" si="0"/>
        <v>#REF!</v>
      </c>
      <c r="G9" s="25">
        <v>20.81</v>
      </c>
      <c r="H9" s="25" t="e">
        <f>'RETA aruanne'!#REF!</f>
        <v>#REF!</v>
      </c>
      <c r="I9" s="25" t="e">
        <f t="shared" si="1"/>
        <v>#REF!</v>
      </c>
      <c r="K9" s="26"/>
      <c r="O9" s="26"/>
    </row>
    <row r="10" spans="1:15" hidden="1" x14ac:dyDescent="0.35">
      <c r="A10" t="s">
        <v>39</v>
      </c>
      <c r="B10" t="s">
        <v>796</v>
      </c>
      <c r="C10" s="142">
        <f>-32797590.97-C11-C14</f>
        <v>-31296189.09</v>
      </c>
      <c r="D10" s="25" t="e">
        <f>'RETA aruanne'!#REF!-D11+'RETA aruanne'!#REF!</f>
        <v>#REF!</v>
      </c>
      <c r="E10" s="25" t="e">
        <f t="shared" si="0"/>
        <v>#REF!</v>
      </c>
      <c r="G10" s="142">
        <f>-32923290.66-G14-G11</f>
        <v>-31823399.129999999</v>
      </c>
      <c r="H10" s="25" t="e">
        <f>'RETA aruanne'!#REF!+'RETA aruanne'!#REF!-H11</f>
        <v>#REF!</v>
      </c>
      <c r="I10" s="25" t="e">
        <f t="shared" si="1"/>
        <v>#REF!</v>
      </c>
      <c r="K10" s="26"/>
      <c r="O10" s="26"/>
    </row>
    <row r="11" spans="1:15" hidden="1" x14ac:dyDescent="0.35">
      <c r="A11" t="s">
        <v>39</v>
      </c>
      <c r="B11" t="s">
        <v>657</v>
      </c>
      <c r="C11" s="142">
        <v>-989937.99</v>
      </c>
      <c r="D11" s="25" t="e">
        <f>'RETA aruanne'!#REF!</f>
        <v>#REF!</v>
      </c>
      <c r="E11" s="25" t="e">
        <f t="shared" si="0"/>
        <v>#REF!</v>
      </c>
      <c r="G11" s="142">
        <v>-986103.41</v>
      </c>
      <c r="H11" s="25" t="e">
        <f>'RETA aruanne'!#REF!</f>
        <v>#REF!</v>
      </c>
      <c r="I11" s="25" t="e">
        <f t="shared" si="1"/>
        <v>#REF!</v>
      </c>
      <c r="K11" s="26"/>
      <c r="O11" s="26"/>
    </row>
    <row r="12" spans="1:15" hidden="1" x14ac:dyDescent="0.35">
      <c r="A12" t="s">
        <v>39</v>
      </c>
      <c r="B12" t="s">
        <v>42</v>
      </c>
      <c r="C12" s="142">
        <v>-97562</v>
      </c>
      <c r="D12" s="25" t="e">
        <f>'RETA aruanne'!#REF!</f>
        <v>#REF!</v>
      </c>
      <c r="E12" s="25" t="e">
        <f t="shared" si="0"/>
        <v>#REF!</v>
      </c>
      <c r="G12" s="142">
        <v>-96126</v>
      </c>
      <c r="H12" s="25" t="e">
        <f>'RETA aruanne'!#REF!</f>
        <v>#REF!</v>
      </c>
      <c r="I12" s="25" t="e">
        <f t="shared" si="1"/>
        <v>#REF!</v>
      </c>
      <c r="K12" s="26"/>
      <c r="O12" s="26"/>
    </row>
    <row r="13" spans="1:15" hidden="1" x14ac:dyDescent="0.35">
      <c r="A13" t="s">
        <v>39</v>
      </c>
      <c r="B13" s="28" t="s">
        <v>797</v>
      </c>
      <c r="C13" s="142">
        <f>-1371850.81-794984.61</f>
        <v>-2166835.42</v>
      </c>
      <c r="D13" s="25" t="e">
        <f>'RETA aruanne'!#REF!-D14+'RETA aruanne'!#REF!</f>
        <v>#REF!</v>
      </c>
      <c r="E13" s="25" t="e">
        <f t="shared" si="0"/>
        <v>#REF!</v>
      </c>
      <c r="F13" s="29"/>
      <c r="G13" s="142">
        <v>-573642.02</v>
      </c>
      <c r="H13" s="25" t="e">
        <f>'RETA aruanne'!#REF!-H14+'RETA aruanne'!#REF!</f>
        <v>#REF!</v>
      </c>
      <c r="I13" s="25" t="e">
        <f t="shared" si="1"/>
        <v>#REF!</v>
      </c>
      <c r="K13" s="26"/>
      <c r="O13" s="26"/>
    </row>
    <row r="14" spans="1:15" hidden="1" x14ac:dyDescent="0.35">
      <c r="A14" t="s">
        <v>39</v>
      </c>
      <c r="B14" t="s">
        <v>794</v>
      </c>
      <c r="C14" s="142">
        <v>-511463.89</v>
      </c>
      <c r="D14" s="25" t="e">
        <f>'RETA aruanne'!#REF!</f>
        <v>#REF!</v>
      </c>
      <c r="E14" s="25" t="e">
        <f t="shared" si="0"/>
        <v>#REF!</v>
      </c>
      <c r="G14" s="142">
        <v>-113788.12</v>
      </c>
      <c r="H14" s="25" t="e">
        <f>'RETA aruanne'!#REF!</f>
        <v>#REF!</v>
      </c>
      <c r="I14" s="25" t="e">
        <f t="shared" si="1"/>
        <v>#REF!</v>
      </c>
      <c r="K14" s="26"/>
      <c r="O14" s="26"/>
    </row>
    <row r="15" spans="1:15" hidden="1" x14ac:dyDescent="0.35">
      <c r="A15" t="s">
        <v>43</v>
      </c>
      <c r="B15" t="s">
        <v>6</v>
      </c>
      <c r="C15" s="26">
        <v>416.15</v>
      </c>
      <c r="D15" s="25" t="e">
        <f>'RETA aruanne'!#REF!</f>
        <v>#REF!</v>
      </c>
      <c r="E15" s="25" t="e">
        <f t="shared" si="0"/>
        <v>#REF!</v>
      </c>
      <c r="G15" s="26">
        <v>702</v>
      </c>
      <c r="H15" s="25" t="e">
        <f>'RETA aruanne'!#REF!</f>
        <v>#REF!</v>
      </c>
      <c r="I15" s="25" t="e">
        <f t="shared" si="1"/>
        <v>#REF!</v>
      </c>
      <c r="K15" s="26"/>
      <c r="O15" s="26"/>
    </row>
    <row r="16" spans="1:15" hidden="1" x14ac:dyDescent="0.35">
      <c r="A16" t="s">
        <v>43</v>
      </c>
      <c r="B16" t="s">
        <v>790</v>
      </c>
      <c r="C16" s="26">
        <v>45627.68</v>
      </c>
      <c r="D16" s="25" t="e">
        <f>'RETA aruanne'!#REF!</f>
        <v>#REF!</v>
      </c>
      <c r="E16" s="25" t="e">
        <f t="shared" si="0"/>
        <v>#REF!</v>
      </c>
      <c r="G16" s="26">
        <v>43576.22</v>
      </c>
      <c r="H16" s="25" t="e">
        <f>'RETA aruanne'!#REF!</f>
        <v>#REF!</v>
      </c>
      <c r="I16" s="25" t="e">
        <f t="shared" si="1"/>
        <v>#REF!</v>
      </c>
      <c r="K16" s="26"/>
      <c r="O16" s="26"/>
    </row>
    <row r="17" spans="1:15" hidden="1" x14ac:dyDescent="0.35">
      <c r="A17" t="s">
        <v>43</v>
      </c>
      <c r="B17" t="s">
        <v>5</v>
      </c>
      <c r="C17" s="26">
        <v>0</v>
      </c>
      <c r="D17" s="25" t="e">
        <f>'RETA aruanne'!#REF!+'RETA aruanne'!#REF!</f>
        <v>#REF!</v>
      </c>
      <c r="E17" s="25" t="e">
        <f t="shared" si="0"/>
        <v>#REF!</v>
      </c>
      <c r="H17" s="25" t="e">
        <f>'RETA aruanne'!#REF!+'RETA aruanne'!#REF!</f>
        <v>#REF!</v>
      </c>
      <c r="I17" s="25" t="e">
        <f t="shared" si="1"/>
        <v>#REF!</v>
      </c>
      <c r="K17" s="26"/>
      <c r="O17" s="26"/>
    </row>
    <row r="18" spans="1:15" hidden="1" x14ac:dyDescent="0.35">
      <c r="A18" t="s">
        <v>43</v>
      </c>
      <c r="B18" t="s">
        <v>41</v>
      </c>
      <c r="C18" s="26">
        <v>0</v>
      </c>
      <c r="D18" s="25">
        <v>0</v>
      </c>
      <c r="E18" s="25">
        <f t="shared" si="0"/>
        <v>0</v>
      </c>
      <c r="H18" s="25">
        <v>0</v>
      </c>
      <c r="I18" s="25">
        <f t="shared" si="1"/>
        <v>0</v>
      </c>
      <c r="K18" s="26"/>
      <c r="O18" s="26"/>
    </row>
    <row r="19" spans="1:15" hidden="1" x14ac:dyDescent="0.35">
      <c r="A19" t="s">
        <v>43</v>
      </c>
      <c r="B19" t="s">
        <v>796</v>
      </c>
      <c r="C19" s="26">
        <f>-6699295.25-C20-C23</f>
        <v>-6164750.0599999996</v>
      </c>
      <c r="D19" s="25" t="e">
        <f>'RETA aruanne'!#REF!+'RETA aruanne'!#REF!+'RETA aruanne'!#REF!-D20</f>
        <v>#REF!</v>
      </c>
      <c r="E19" s="25" t="e">
        <f t="shared" si="0"/>
        <v>#REF!</v>
      </c>
      <c r="G19" s="26">
        <f>-5693293.29-G20-G23</f>
        <v>-5254097.13</v>
      </c>
      <c r="H19" s="25" t="e">
        <f>'RETA aruanne'!#REF!+'RETA aruanne'!#REF!+'RETA aruanne'!#REF!-H20</f>
        <v>#REF!</v>
      </c>
      <c r="I19" s="25" t="e">
        <f t="shared" si="1"/>
        <v>#REF!</v>
      </c>
      <c r="K19" s="26"/>
      <c r="O19" s="26"/>
    </row>
    <row r="20" spans="1:15" hidden="1" x14ac:dyDescent="0.35">
      <c r="A20" t="s">
        <v>43</v>
      </c>
      <c r="B20" t="s">
        <v>657</v>
      </c>
      <c r="C20" s="26">
        <v>-495308.95</v>
      </c>
      <c r="D20" s="25" t="e">
        <f>'RETA aruanne'!#REF!</f>
        <v>#REF!</v>
      </c>
      <c r="E20" s="25" t="e">
        <f t="shared" si="0"/>
        <v>#REF!</v>
      </c>
      <c r="G20" s="26">
        <v>-350596.22</v>
      </c>
      <c r="H20" s="25" t="e">
        <f>'RETA aruanne'!#REF!</f>
        <v>#REF!</v>
      </c>
      <c r="I20" s="25" t="e">
        <f t="shared" si="1"/>
        <v>#REF!</v>
      </c>
      <c r="K20" s="26"/>
      <c r="O20" s="26"/>
    </row>
    <row r="21" spans="1:15" hidden="1" x14ac:dyDescent="0.35">
      <c r="A21" t="s">
        <v>43</v>
      </c>
      <c r="B21" t="s">
        <v>42</v>
      </c>
      <c r="C21" s="26">
        <v>-328304</v>
      </c>
      <c r="D21" s="25" t="e">
        <f>'RETA aruanne'!#REF!</f>
        <v>#REF!</v>
      </c>
      <c r="E21" s="25" t="e">
        <f t="shared" si="0"/>
        <v>#REF!</v>
      </c>
      <c r="G21" s="26">
        <v>-316114</v>
      </c>
      <c r="H21" s="25" t="e">
        <f>'RETA aruanne'!#REF!</f>
        <v>#REF!</v>
      </c>
      <c r="I21" s="25" t="e">
        <f t="shared" si="1"/>
        <v>#REF!</v>
      </c>
      <c r="K21" s="26"/>
      <c r="O21" s="26"/>
    </row>
    <row r="22" spans="1:15" hidden="1" x14ac:dyDescent="0.35">
      <c r="A22" t="s">
        <v>43</v>
      </c>
      <c r="B22" s="28" t="s">
        <v>797</v>
      </c>
      <c r="C22" s="142">
        <v>-197901</v>
      </c>
      <c r="D22" s="25" t="e">
        <f>'RETA aruanne'!#REF!+'RETA aruanne'!#REF!-D23</f>
        <v>#REF!</v>
      </c>
      <c r="E22" s="25" t="e">
        <f t="shared" ref="E22" si="2">C22-D22</f>
        <v>#REF!</v>
      </c>
      <c r="F22" s="29"/>
      <c r="G22" s="142">
        <v>-402727</v>
      </c>
      <c r="H22" s="25" t="e">
        <f>'RETA aruanne'!#REF!+'RETA aruanne'!#REF!-H23</f>
        <v>#REF!</v>
      </c>
      <c r="I22" s="25" t="e">
        <f t="shared" ref="I22" si="3">G22-H22</f>
        <v>#REF!</v>
      </c>
      <c r="K22" s="26"/>
      <c r="O22" s="26"/>
    </row>
    <row r="23" spans="1:15" hidden="1" x14ac:dyDescent="0.35">
      <c r="A23" t="s">
        <v>43</v>
      </c>
      <c r="B23" t="s">
        <v>794</v>
      </c>
      <c r="C23" s="142">
        <v>-39236.239999999998</v>
      </c>
      <c r="D23" s="25" t="e">
        <f>'RETA aruanne'!#REF!</f>
        <v>#REF!</v>
      </c>
      <c r="E23" s="25" t="e">
        <f t="shared" si="0"/>
        <v>#REF!</v>
      </c>
      <c r="F23" s="29"/>
      <c r="G23" s="142">
        <v>-88599.94</v>
      </c>
      <c r="H23" s="25" t="e">
        <f>'RETA aruanne'!#REF!</f>
        <v>#REF!</v>
      </c>
      <c r="I23" s="25" t="e">
        <f t="shared" si="1"/>
        <v>#REF!</v>
      </c>
      <c r="K23" s="26"/>
      <c r="O23" s="26"/>
    </row>
    <row r="24" spans="1:15" hidden="1" x14ac:dyDescent="0.35">
      <c r="A24" t="s">
        <v>44</v>
      </c>
      <c r="B24" t="s">
        <v>5</v>
      </c>
      <c r="C24" s="26"/>
      <c r="D24" s="25" t="e">
        <f>'RETA aruanne'!#REF!</f>
        <v>#REF!</v>
      </c>
      <c r="E24" s="25" t="e">
        <f t="shared" si="0"/>
        <v>#REF!</v>
      </c>
      <c r="G24" s="26">
        <v>1350</v>
      </c>
      <c r="H24" s="25" t="e">
        <f>'RETA aruanne'!#REF!</f>
        <v>#REF!</v>
      </c>
      <c r="I24" s="25" t="e">
        <f t="shared" si="1"/>
        <v>#REF!</v>
      </c>
      <c r="K24" s="26"/>
      <c r="O24" s="26"/>
    </row>
    <row r="25" spans="1:15" hidden="1" x14ac:dyDescent="0.35">
      <c r="A25" t="s">
        <v>44</v>
      </c>
      <c r="B25" t="s">
        <v>11</v>
      </c>
      <c r="C25" s="26"/>
      <c r="D25" s="25" t="e">
        <f>'RETA aruanne'!#REF!</f>
        <v>#REF!</v>
      </c>
      <c r="E25" s="25" t="e">
        <f t="shared" ref="E25" si="4">C25-D25</f>
        <v>#REF!</v>
      </c>
      <c r="G25" s="26">
        <v>0</v>
      </c>
      <c r="H25" s="25" t="e">
        <f>'RETA aruanne'!#REF!</f>
        <v>#REF!</v>
      </c>
      <c r="I25" s="25" t="e">
        <f t="shared" ref="I25" si="5">G25-H25</f>
        <v>#REF!</v>
      </c>
      <c r="K25" s="26"/>
      <c r="O25" s="26"/>
    </row>
    <row r="26" spans="1:15" hidden="1" x14ac:dyDescent="0.35">
      <c r="A26" t="s">
        <v>44</v>
      </c>
      <c r="B26" t="s">
        <v>41</v>
      </c>
      <c r="C26" s="26"/>
      <c r="D26" s="25">
        <v>0</v>
      </c>
      <c r="E26" s="25">
        <f t="shared" si="0"/>
        <v>0</v>
      </c>
      <c r="G26" s="26">
        <v>0</v>
      </c>
      <c r="H26" s="25">
        <v>0</v>
      </c>
      <c r="I26" s="25">
        <f t="shared" si="1"/>
        <v>0</v>
      </c>
      <c r="K26" s="26"/>
      <c r="O26" s="26"/>
    </row>
    <row r="27" spans="1:15" hidden="1" x14ac:dyDescent="0.35">
      <c r="A27" t="s">
        <v>44</v>
      </c>
      <c r="B27" t="s">
        <v>796</v>
      </c>
      <c r="C27" s="26">
        <f>-5917890.11-C28-C31</f>
        <v>-5663699.6500000004</v>
      </c>
      <c r="D27" s="25" t="e">
        <f>'RETA aruanne'!#REF!-D28+'RETA aruanne'!#REF!-'RETA aruanne'!#REF!</f>
        <v>#REF!</v>
      </c>
      <c r="E27" s="25" t="e">
        <f t="shared" si="0"/>
        <v>#REF!</v>
      </c>
      <c r="G27" s="26">
        <f>-5666192.2-G28-G31</f>
        <v>-5428831.0500000007</v>
      </c>
      <c r="H27" s="25" t="e">
        <f>'RETA aruanne'!#REF!-H28+'RETA aruanne'!#REF!-'RETA aruanne'!#REF!</f>
        <v>#REF!</v>
      </c>
      <c r="I27" s="25" t="e">
        <f t="shared" si="1"/>
        <v>#REF!</v>
      </c>
      <c r="K27" s="26"/>
      <c r="O27" s="26"/>
    </row>
    <row r="28" spans="1:15" hidden="1" x14ac:dyDescent="0.35">
      <c r="A28" t="s">
        <v>44</v>
      </c>
      <c r="B28" t="s">
        <v>657</v>
      </c>
      <c r="C28" s="26">
        <v>-251198.46</v>
      </c>
      <c r="D28" s="25" t="e">
        <f>'RETA aruanne'!#REF!</f>
        <v>#REF!</v>
      </c>
      <c r="E28" s="25" t="e">
        <f t="shared" si="0"/>
        <v>#REF!</v>
      </c>
      <c r="G28" s="26">
        <v>-223806.51</v>
      </c>
      <c r="H28" s="25" t="e">
        <f>'RETA aruanne'!#REF!</f>
        <v>#REF!</v>
      </c>
      <c r="I28" s="25" t="e">
        <f t="shared" si="1"/>
        <v>#REF!</v>
      </c>
      <c r="K28" s="26"/>
      <c r="O28" s="26"/>
    </row>
    <row r="29" spans="1:15" hidden="1" x14ac:dyDescent="0.35">
      <c r="A29" t="s">
        <v>44</v>
      </c>
      <c r="B29" t="s">
        <v>42</v>
      </c>
      <c r="C29" s="26">
        <v>-1991</v>
      </c>
      <c r="D29" s="25" t="e">
        <f>'RETA aruanne'!#REF!</f>
        <v>#REF!</v>
      </c>
      <c r="E29" s="25" t="e">
        <f t="shared" si="0"/>
        <v>#REF!</v>
      </c>
      <c r="G29" s="26">
        <v>-1252</v>
      </c>
      <c r="H29" s="25" t="e">
        <f>'RETA aruanne'!#REF!</f>
        <v>#REF!</v>
      </c>
      <c r="I29" s="25" t="e">
        <f t="shared" si="1"/>
        <v>#REF!</v>
      </c>
      <c r="K29" s="26"/>
      <c r="O29" s="26"/>
    </row>
    <row r="30" spans="1:15" hidden="1" x14ac:dyDescent="0.35">
      <c r="A30" t="s">
        <v>44</v>
      </c>
      <c r="B30" t="s">
        <v>25</v>
      </c>
      <c r="C30" s="26">
        <f>-20284-13600</f>
        <v>-33884</v>
      </c>
      <c r="D30" s="25" t="e">
        <f>'RETA aruanne'!#REF!-D31</f>
        <v>#REF!</v>
      </c>
      <c r="E30" s="25" t="e">
        <f t="shared" ref="E30" si="6">C30-D30</f>
        <v>#REF!</v>
      </c>
      <c r="G30" s="26">
        <f>-48986-12626</f>
        <v>-61612</v>
      </c>
      <c r="H30" s="25" t="e">
        <f>'RETA aruanne'!#REF!-H31</f>
        <v>#REF!</v>
      </c>
      <c r="I30" s="25" t="e">
        <f t="shared" ref="I30" si="7">G30-H30</f>
        <v>#REF!</v>
      </c>
      <c r="K30" s="26"/>
      <c r="O30" s="26"/>
    </row>
    <row r="31" spans="1:15" hidden="1" x14ac:dyDescent="0.35">
      <c r="A31" t="s">
        <v>44</v>
      </c>
      <c r="B31" t="s">
        <v>794</v>
      </c>
      <c r="C31" s="26">
        <v>-2992</v>
      </c>
      <c r="D31" s="25" t="e">
        <f>'RETA aruanne'!#REF!</f>
        <v>#REF!</v>
      </c>
      <c r="E31" s="25" t="e">
        <f t="shared" si="0"/>
        <v>#REF!</v>
      </c>
      <c r="G31" s="26">
        <v>-13554.64</v>
      </c>
      <c r="H31" s="25" t="e">
        <f>'RETA aruanne'!#REF!</f>
        <v>#REF!</v>
      </c>
      <c r="I31" s="25" t="e">
        <f t="shared" si="1"/>
        <v>#REF!</v>
      </c>
      <c r="K31" s="26"/>
      <c r="O31" s="26"/>
    </row>
    <row r="32" spans="1:15" hidden="1" x14ac:dyDescent="0.35">
      <c r="A32" t="s">
        <v>45</v>
      </c>
      <c r="B32" t="s">
        <v>40</v>
      </c>
      <c r="C32" s="26">
        <v>12786</v>
      </c>
      <c r="D32" s="25" t="e">
        <f>'RETA aruanne'!#REF!</f>
        <v>#REF!</v>
      </c>
      <c r="E32" s="25" t="e">
        <f t="shared" si="0"/>
        <v>#REF!</v>
      </c>
      <c r="G32" s="26">
        <v>21623.200000000001</v>
      </c>
      <c r="H32" s="25" t="e">
        <f>'RETA aruanne'!#REF!</f>
        <v>#REF!</v>
      </c>
      <c r="I32" s="25" t="e">
        <f t="shared" si="1"/>
        <v>#REF!</v>
      </c>
      <c r="K32" s="26"/>
      <c r="O32" s="26"/>
    </row>
    <row r="33" spans="1:15" hidden="1" x14ac:dyDescent="0.35">
      <c r="A33" t="s">
        <v>45</v>
      </c>
      <c r="B33" t="s">
        <v>41</v>
      </c>
      <c r="C33" s="26"/>
      <c r="D33" s="25">
        <v>0</v>
      </c>
      <c r="E33" s="25">
        <f t="shared" si="0"/>
        <v>0</v>
      </c>
      <c r="G33" s="26">
        <v>0</v>
      </c>
      <c r="H33" s="25">
        <v>0</v>
      </c>
      <c r="I33" s="25">
        <f t="shared" si="1"/>
        <v>0</v>
      </c>
      <c r="K33" s="26"/>
      <c r="O33" s="26"/>
    </row>
    <row r="34" spans="1:15" hidden="1" x14ac:dyDescent="0.35">
      <c r="A34" t="s">
        <v>45</v>
      </c>
      <c r="B34" t="s">
        <v>796</v>
      </c>
      <c r="C34" s="26">
        <f>-3432756.27-C36</f>
        <v>-3334814.46</v>
      </c>
      <c r="D34" s="25" t="e">
        <f>'RETA aruanne'!#REF!+'RETA aruanne'!#REF!-D36-D35</f>
        <v>#REF!</v>
      </c>
      <c r="E34" s="25" t="e">
        <f t="shared" si="0"/>
        <v>#REF!</v>
      </c>
      <c r="G34" s="26">
        <f>-3387711.28-G36</f>
        <v>-3279803.86</v>
      </c>
      <c r="H34" s="25" t="e">
        <f>'RETA aruanne'!#REF!-H36</f>
        <v>#REF!</v>
      </c>
      <c r="I34" s="25" t="e">
        <f t="shared" si="1"/>
        <v>#REF!</v>
      </c>
      <c r="K34" s="26"/>
      <c r="O34" s="26"/>
    </row>
    <row r="35" spans="1:15" hidden="1" x14ac:dyDescent="0.35">
      <c r="A35" t="s">
        <v>45</v>
      </c>
      <c r="B35" t="s">
        <v>42</v>
      </c>
      <c r="C35" s="26">
        <v>-1684</v>
      </c>
      <c r="D35" s="25" t="e">
        <f>'RETA aruanne'!#REF!</f>
        <v>#REF!</v>
      </c>
      <c r="E35" s="25" t="e">
        <f t="shared" si="0"/>
        <v>#REF!</v>
      </c>
      <c r="G35" s="26">
        <v>-1876</v>
      </c>
      <c r="H35" s="25" t="e">
        <f>'RETA aruanne'!#REF!</f>
        <v>#REF!</v>
      </c>
      <c r="I35" s="25" t="e">
        <f t="shared" si="1"/>
        <v>#REF!</v>
      </c>
      <c r="K35" s="26"/>
      <c r="O35" s="26"/>
    </row>
    <row r="36" spans="1:15" hidden="1" x14ac:dyDescent="0.35">
      <c r="A36" t="s">
        <v>45</v>
      </c>
      <c r="B36" t="s">
        <v>657</v>
      </c>
      <c r="C36" s="26">
        <v>-97941.81</v>
      </c>
      <c r="D36" s="25" t="e">
        <f>'RETA aruanne'!#REF!</f>
        <v>#REF!</v>
      </c>
      <c r="E36" s="25" t="e">
        <f t="shared" si="0"/>
        <v>#REF!</v>
      </c>
      <c r="G36" s="26">
        <v>-107907.42</v>
      </c>
      <c r="H36" s="25" t="e">
        <f>'RETA aruanne'!#REF!</f>
        <v>#REF!</v>
      </c>
      <c r="I36" s="25" t="e">
        <f t="shared" si="1"/>
        <v>#REF!</v>
      </c>
      <c r="K36" s="26"/>
      <c r="O36" s="26"/>
    </row>
    <row r="37" spans="1:15" hidden="1" x14ac:dyDescent="0.35">
      <c r="A37" t="s">
        <v>45</v>
      </c>
      <c r="B37" t="s">
        <v>25</v>
      </c>
      <c r="C37" s="26"/>
      <c r="D37" s="25">
        <v>0</v>
      </c>
      <c r="E37" s="25">
        <f t="shared" si="0"/>
        <v>0</v>
      </c>
      <c r="G37" s="26">
        <v>0</v>
      </c>
      <c r="H37" s="25"/>
      <c r="I37" s="25">
        <f t="shared" si="1"/>
        <v>0</v>
      </c>
      <c r="K37" s="26"/>
      <c r="O37" s="26"/>
    </row>
    <row r="38" spans="1:15" hidden="1" x14ac:dyDescent="0.35">
      <c r="A38" t="s">
        <v>46</v>
      </c>
      <c r="B38" t="s">
        <v>6</v>
      </c>
      <c r="C38" s="26">
        <v>277112.03999999998</v>
      </c>
      <c r="D38" s="25" t="e">
        <f>'RETA aruanne'!#REF!</f>
        <v>#REF!</v>
      </c>
      <c r="E38" s="25" t="e">
        <f t="shared" si="0"/>
        <v>#REF!</v>
      </c>
      <c r="G38" s="26">
        <v>278980.17</v>
      </c>
      <c r="H38" s="25" t="e">
        <f>'RETA aruanne'!#REF!</f>
        <v>#REF!</v>
      </c>
      <c r="I38" s="25" t="e">
        <f t="shared" si="1"/>
        <v>#REF!</v>
      </c>
      <c r="K38" s="26"/>
      <c r="O38" s="26"/>
    </row>
    <row r="39" spans="1:15" hidden="1" x14ac:dyDescent="0.35">
      <c r="A39" t="s">
        <v>46</v>
      </c>
      <c r="B39" t="s">
        <v>790</v>
      </c>
      <c r="C39" s="26">
        <v>5074.6899999999996</v>
      </c>
      <c r="D39" s="25" t="e">
        <f>'RETA aruanne'!#REF!</f>
        <v>#REF!</v>
      </c>
      <c r="E39" s="25" t="e">
        <f t="shared" si="0"/>
        <v>#REF!</v>
      </c>
      <c r="G39" s="26">
        <v>41447.949999999997</v>
      </c>
      <c r="H39" s="25" t="e">
        <f>'RETA aruanne'!#REF!</f>
        <v>#REF!</v>
      </c>
      <c r="I39" s="25" t="e">
        <f t="shared" si="1"/>
        <v>#REF!</v>
      </c>
      <c r="K39" s="26"/>
      <c r="O39" s="26"/>
    </row>
    <row r="40" spans="1:15" hidden="1" x14ac:dyDescent="0.35">
      <c r="A40" t="s">
        <v>46</v>
      </c>
      <c r="B40" t="s">
        <v>5</v>
      </c>
      <c r="C40" s="26">
        <v>85862.63</v>
      </c>
      <c r="D40" s="25" t="e">
        <f>'RETA aruanne'!#REF!+'RETA aruanne'!#REF!</f>
        <v>#REF!</v>
      </c>
      <c r="E40" s="25" t="e">
        <f t="shared" si="0"/>
        <v>#REF!</v>
      </c>
      <c r="G40" s="26">
        <v>55626.720000000001</v>
      </c>
      <c r="H40" s="25" t="e">
        <f>'RETA aruanne'!#REF!+'RETA aruanne'!#REF!</f>
        <v>#REF!</v>
      </c>
      <c r="I40" s="25" t="e">
        <f t="shared" si="1"/>
        <v>#REF!</v>
      </c>
      <c r="K40" s="26"/>
      <c r="O40" s="26"/>
    </row>
    <row r="41" spans="1:15" hidden="1" x14ac:dyDescent="0.35">
      <c r="A41" t="s">
        <v>46</v>
      </c>
      <c r="B41" t="s">
        <v>9</v>
      </c>
      <c r="C41" s="26">
        <v>0</v>
      </c>
      <c r="D41" s="25" t="e">
        <f>'RETA aruanne'!#REF!</f>
        <v>#REF!</v>
      </c>
      <c r="E41" s="25" t="e">
        <f t="shared" si="0"/>
        <v>#REF!</v>
      </c>
      <c r="G41" s="26">
        <v>10000</v>
      </c>
      <c r="H41" s="25" t="e">
        <f>'RETA aruanne'!#REF!</f>
        <v>#REF!</v>
      </c>
      <c r="I41" s="25" t="e">
        <f t="shared" si="1"/>
        <v>#REF!</v>
      </c>
      <c r="K41" s="26"/>
      <c r="O41" s="26"/>
    </row>
    <row r="42" spans="1:15" hidden="1" x14ac:dyDescent="0.35">
      <c r="A42" t="s">
        <v>46</v>
      </c>
      <c r="B42" t="s">
        <v>11</v>
      </c>
      <c r="C42" s="26">
        <v>39713.08</v>
      </c>
      <c r="D42" s="25" t="e">
        <f>'RETA aruanne'!#REF!</f>
        <v>#REF!</v>
      </c>
      <c r="E42" s="25" t="e">
        <f t="shared" si="0"/>
        <v>#REF!</v>
      </c>
      <c r="G42" s="26">
        <v>17956.2</v>
      </c>
      <c r="H42" s="25" t="e">
        <f>'RETA aruanne'!#REF!</f>
        <v>#REF!</v>
      </c>
      <c r="I42" s="25" t="e">
        <f t="shared" si="1"/>
        <v>#REF!</v>
      </c>
      <c r="K42" s="26"/>
      <c r="O42" s="26"/>
    </row>
    <row r="43" spans="1:15" hidden="1" x14ac:dyDescent="0.35">
      <c r="A43" t="s">
        <v>46</v>
      </c>
      <c r="B43" t="s">
        <v>796</v>
      </c>
      <c r="C43" s="26">
        <f>-7034367.91-C45-C47</f>
        <v>-6886916.4199999999</v>
      </c>
      <c r="D43" s="25" t="e">
        <f>'RETA aruanne'!#REF!-D45+'RETA aruanne'!#REF!</f>
        <v>#REF!</v>
      </c>
      <c r="E43" s="25" t="e">
        <f t="shared" si="0"/>
        <v>#REF!</v>
      </c>
      <c r="G43" s="26">
        <f>-6911464.85-G45-G47</f>
        <v>-6779994.3899999997</v>
      </c>
      <c r="H43" s="25" t="e">
        <f>'RETA aruanne'!#REF!-H45+'RETA aruanne'!#REF!</f>
        <v>#REF!</v>
      </c>
      <c r="I43" s="25" t="e">
        <f t="shared" si="1"/>
        <v>#REF!</v>
      </c>
      <c r="K43" s="26"/>
      <c r="O43" s="26"/>
    </row>
    <row r="44" spans="1:15" hidden="1" x14ac:dyDescent="0.35">
      <c r="A44" t="s">
        <v>46</v>
      </c>
      <c r="B44" t="s">
        <v>42</v>
      </c>
      <c r="C44" s="26">
        <v>-461922</v>
      </c>
      <c r="D44" s="25" t="e">
        <f>'RETA aruanne'!#REF!</f>
        <v>#REF!</v>
      </c>
      <c r="E44" s="25" t="e">
        <f t="shared" si="0"/>
        <v>#REF!</v>
      </c>
      <c r="G44" s="26">
        <v>-367307</v>
      </c>
      <c r="H44" s="25" t="e">
        <f>'RETA aruanne'!#REF!</f>
        <v>#REF!</v>
      </c>
      <c r="I44" s="25" t="e">
        <f t="shared" si="1"/>
        <v>#REF!</v>
      </c>
      <c r="K44" s="26"/>
      <c r="O44" s="26"/>
    </row>
    <row r="45" spans="1:15" hidden="1" x14ac:dyDescent="0.35">
      <c r="A45" t="s">
        <v>46</v>
      </c>
      <c r="B45" t="s">
        <v>657</v>
      </c>
      <c r="C45" s="26">
        <v>-140911.10999999999</v>
      </c>
      <c r="D45" s="25" t="e">
        <f>'RETA aruanne'!#REF!</f>
        <v>#REF!</v>
      </c>
      <c r="E45" s="25" t="e">
        <f t="shared" si="0"/>
        <v>#REF!</v>
      </c>
      <c r="G45" s="26">
        <v>-131470.46</v>
      </c>
      <c r="H45" s="25" t="e">
        <f>'RETA aruanne'!#REF!</f>
        <v>#REF!</v>
      </c>
      <c r="I45" s="25" t="e">
        <f t="shared" si="1"/>
        <v>#REF!</v>
      </c>
      <c r="K45" s="26"/>
      <c r="O45" s="26"/>
    </row>
    <row r="46" spans="1:15" hidden="1" x14ac:dyDescent="0.35">
      <c r="A46" t="s">
        <v>46</v>
      </c>
      <c r="B46" t="s">
        <v>25</v>
      </c>
      <c r="C46" s="26">
        <f>-23850-3710.8</f>
        <v>-27560.799999999999</v>
      </c>
      <c r="D46" s="25" t="e">
        <f>'RETA aruanne'!#REF!-D47</f>
        <v>#REF!</v>
      </c>
      <c r="E46" s="25" t="e">
        <f t="shared" ref="E46" si="8">C46-D46</f>
        <v>#REF!</v>
      </c>
      <c r="G46" s="26">
        <v>0</v>
      </c>
      <c r="H46" s="25" t="e">
        <f>'RETA aruanne'!#REF!-H47</f>
        <v>#REF!</v>
      </c>
      <c r="I46" s="25" t="e">
        <f t="shared" si="1"/>
        <v>#REF!</v>
      </c>
      <c r="K46" s="26"/>
      <c r="O46" s="26"/>
    </row>
    <row r="47" spans="1:15" hidden="1" x14ac:dyDescent="0.35">
      <c r="A47" t="s">
        <v>46</v>
      </c>
      <c r="B47" t="s">
        <v>794</v>
      </c>
      <c r="C47" s="26">
        <v>-6540.38</v>
      </c>
      <c r="D47" s="25" t="e">
        <f>'RETA aruanne'!#REF!</f>
        <v>#REF!</v>
      </c>
      <c r="E47" s="25" t="e">
        <f t="shared" si="0"/>
        <v>#REF!</v>
      </c>
      <c r="G47" s="26">
        <v>0</v>
      </c>
      <c r="H47" s="25" t="e">
        <f>'RETA aruanne'!#REF!</f>
        <v>#REF!</v>
      </c>
      <c r="I47" s="25" t="e">
        <f t="shared" si="1"/>
        <v>#REF!</v>
      </c>
      <c r="K47" s="26"/>
      <c r="O47" s="26"/>
    </row>
    <row r="48" spans="1:15" hidden="1" x14ac:dyDescent="0.35">
      <c r="A48" t="s">
        <v>47</v>
      </c>
      <c r="B48" t="s">
        <v>790</v>
      </c>
      <c r="C48" s="142">
        <v>299.16000000000003</v>
      </c>
      <c r="D48" s="25" t="e">
        <f>'RETA aruanne'!#REF!</f>
        <v>#REF!</v>
      </c>
      <c r="E48" s="25" t="e">
        <f t="shared" ref="E48" si="9">C48-D48</f>
        <v>#REF!</v>
      </c>
      <c r="G48" s="142">
        <v>651.82000000000005</v>
      </c>
      <c r="H48" s="25" t="e">
        <f>'RETA aruanne'!#REF!</f>
        <v>#REF!</v>
      </c>
      <c r="I48" s="25" t="e">
        <f t="shared" ref="I48" si="10">G48-H48</f>
        <v>#REF!</v>
      </c>
      <c r="K48" s="26"/>
      <c r="O48" s="26"/>
    </row>
    <row r="49" spans="1:15" hidden="1" x14ac:dyDescent="0.35">
      <c r="A49" t="s">
        <v>47</v>
      </c>
      <c r="B49" t="s">
        <v>5</v>
      </c>
      <c r="C49" s="142">
        <v>4853085.4800000004</v>
      </c>
      <c r="D49" s="25" t="e">
        <f>'RETA aruanne'!#REF!+'RETA aruanne'!#REF!+'RETA aruanne'!#REF!</f>
        <v>#REF!</v>
      </c>
      <c r="E49" s="25" t="e">
        <f t="shared" si="0"/>
        <v>#REF!</v>
      </c>
      <c r="G49" s="142">
        <v>2133719.71</v>
      </c>
      <c r="H49" s="25" t="e">
        <f>'RETA aruanne'!#REF!+'RETA aruanne'!#REF!+'RETA aruanne'!#REF!</f>
        <v>#REF!</v>
      </c>
      <c r="I49" s="25" t="e">
        <f t="shared" si="1"/>
        <v>#REF!</v>
      </c>
      <c r="K49" s="26"/>
      <c r="O49" s="26"/>
    </row>
    <row r="50" spans="1:15" hidden="1" x14ac:dyDescent="0.35">
      <c r="A50" t="s">
        <v>47</v>
      </c>
      <c r="B50" t="s">
        <v>41</v>
      </c>
      <c r="D50" s="25">
        <v>0</v>
      </c>
      <c r="E50" s="25">
        <f t="shared" si="0"/>
        <v>0</v>
      </c>
      <c r="G50" s="142">
        <v>0</v>
      </c>
      <c r="H50" s="25">
        <v>0</v>
      </c>
      <c r="I50" s="25">
        <f t="shared" si="1"/>
        <v>0</v>
      </c>
      <c r="K50" s="26"/>
      <c r="O50" s="26"/>
    </row>
    <row r="51" spans="1:15" hidden="1" x14ac:dyDescent="0.35">
      <c r="A51" t="s">
        <v>47</v>
      </c>
      <c r="B51" t="s">
        <v>796</v>
      </c>
      <c r="C51" s="142">
        <f>-26649315.46-C53-C56</f>
        <v>-24700966.32</v>
      </c>
      <c r="D51" s="25" t="e">
        <f>'RETA aruanne'!#REF!-'RETA aruanne'!#REF!+'RETA aruanne'!#REF!</f>
        <v>#REF!</v>
      </c>
      <c r="E51" s="25" t="e">
        <f t="shared" si="0"/>
        <v>#REF!</v>
      </c>
      <c r="G51" s="142">
        <f>-18209063.77-G53-G56</f>
        <v>-17033280.039999999</v>
      </c>
      <c r="H51" s="25" t="e">
        <f>'RETA aruanne'!#REF!-'RETA aruanne'!#REF!+'RETA aruanne'!#REF!</f>
        <v>#REF!</v>
      </c>
      <c r="I51" s="25" t="e">
        <f t="shared" si="1"/>
        <v>#REF!</v>
      </c>
      <c r="K51" s="26"/>
      <c r="O51" s="26"/>
    </row>
    <row r="52" spans="1:15" hidden="1" x14ac:dyDescent="0.35">
      <c r="A52" t="s">
        <v>47</v>
      </c>
      <c r="B52" t="s">
        <v>42</v>
      </c>
      <c r="C52" s="142">
        <v>-3480.44</v>
      </c>
      <c r="D52" s="25"/>
      <c r="E52" s="25">
        <f t="shared" si="0"/>
        <v>-3480.44</v>
      </c>
      <c r="G52" s="142">
        <v>-3382.36</v>
      </c>
      <c r="H52" s="25"/>
      <c r="I52" s="25">
        <f t="shared" si="1"/>
        <v>-3382.36</v>
      </c>
      <c r="K52" s="26"/>
      <c r="O52" s="26"/>
    </row>
    <row r="53" spans="1:15" hidden="1" x14ac:dyDescent="0.35">
      <c r="A53" t="s">
        <v>47</v>
      </c>
      <c r="B53" t="s">
        <v>657</v>
      </c>
      <c r="C53" s="142">
        <v>-1935275.68</v>
      </c>
      <c r="D53" s="25" t="e">
        <f>'RETA aruanne'!#REF!</f>
        <v>#REF!</v>
      </c>
      <c r="E53" s="25" t="e">
        <f t="shared" si="0"/>
        <v>#REF!</v>
      </c>
      <c r="F53" s="29"/>
      <c r="G53" s="142">
        <v>-1163759.4099999999</v>
      </c>
      <c r="H53" s="25" t="e">
        <f>'RETA aruanne'!#REF!</f>
        <v>#REF!</v>
      </c>
      <c r="I53" s="25" t="e">
        <f t="shared" si="1"/>
        <v>#REF!</v>
      </c>
      <c r="K53" s="26"/>
      <c r="O53" s="26"/>
    </row>
    <row r="54" spans="1:15" hidden="1" x14ac:dyDescent="0.35">
      <c r="A54" t="s">
        <v>47</v>
      </c>
      <c r="B54" s="28" t="s">
        <v>25</v>
      </c>
      <c r="C54" s="142">
        <f>-56146.5</f>
        <v>-56146.5</v>
      </c>
      <c r="D54" s="25" t="e">
        <f>'RETA aruanne'!#REF!-D56</f>
        <v>#REF!</v>
      </c>
      <c r="E54" s="25" t="e">
        <f t="shared" ref="E54:E75" si="11">C54-D54</f>
        <v>#REF!</v>
      </c>
      <c r="F54" s="29"/>
      <c r="G54" s="142">
        <f>-41013-54656</f>
        <v>-95669</v>
      </c>
      <c r="H54" s="25" t="e">
        <f>'RETA aruanne'!#REF!-'RETA aruanne'!#REF!</f>
        <v>#REF!</v>
      </c>
      <c r="I54" s="25" t="e">
        <f t="shared" ref="I54" si="12">G54-H54</f>
        <v>#REF!</v>
      </c>
      <c r="K54" s="26"/>
      <c r="O54" s="26"/>
    </row>
    <row r="55" spans="1:15" hidden="1" x14ac:dyDescent="0.35">
      <c r="A55" t="s">
        <v>47</v>
      </c>
      <c r="B55" t="s">
        <v>51</v>
      </c>
      <c r="C55" s="142">
        <v>-41013</v>
      </c>
      <c r="D55" s="25"/>
      <c r="E55" s="25">
        <f t="shared" ref="E55" si="13">C55-D55</f>
        <v>-41013</v>
      </c>
      <c r="F55" s="29"/>
      <c r="G55" s="142">
        <v>41013</v>
      </c>
      <c r="H55" s="25"/>
      <c r="I55" s="25">
        <f t="shared" ref="I55" si="14">G55-H55</f>
        <v>41013</v>
      </c>
      <c r="K55" s="26"/>
      <c r="O55" s="26"/>
    </row>
    <row r="56" spans="1:15" hidden="1" x14ac:dyDescent="0.35">
      <c r="A56" t="s">
        <v>47</v>
      </c>
      <c r="B56" t="s">
        <v>794</v>
      </c>
      <c r="C56" s="142">
        <v>-13073.46</v>
      </c>
      <c r="D56" s="25" t="e">
        <f>'RETA aruanne'!#REF!</f>
        <v>#REF!</v>
      </c>
      <c r="E56" s="25" t="e">
        <f t="shared" si="11"/>
        <v>#REF!</v>
      </c>
      <c r="F56" s="29"/>
      <c r="G56" s="142">
        <v>-12024.32</v>
      </c>
      <c r="H56" s="25" t="e">
        <f>'RETA aruanne'!#REF!</f>
        <v>#REF!</v>
      </c>
      <c r="I56" s="25" t="e">
        <f t="shared" si="1"/>
        <v>#REF!</v>
      </c>
      <c r="K56" s="26"/>
      <c r="O56" s="26"/>
    </row>
    <row r="57" spans="1:15" hidden="1" x14ac:dyDescent="0.35">
      <c r="A57" t="s">
        <v>48</v>
      </c>
      <c r="B57" t="s">
        <v>6</v>
      </c>
      <c r="C57" s="26">
        <v>117501</v>
      </c>
      <c r="D57" s="25" t="e">
        <f>'RETA aruanne'!#REF!</f>
        <v>#REF!</v>
      </c>
      <c r="E57" s="25" t="e">
        <f t="shared" si="11"/>
        <v>#REF!</v>
      </c>
      <c r="G57" s="26">
        <v>67968</v>
      </c>
      <c r="H57" s="25" t="e">
        <f>'RETA aruanne'!#REF!</f>
        <v>#REF!</v>
      </c>
      <c r="I57" s="25" t="e">
        <f t="shared" si="1"/>
        <v>#REF!</v>
      </c>
      <c r="K57" s="26"/>
      <c r="O57" s="26"/>
    </row>
    <row r="58" spans="1:15" hidden="1" x14ac:dyDescent="0.35">
      <c r="A58" t="s">
        <v>48</v>
      </c>
      <c r="B58" t="s">
        <v>790</v>
      </c>
      <c r="C58" s="26">
        <v>14018454.060000001</v>
      </c>
      <c r="D58" s="25" t="e">
        <f>'RETA aruanne'!#REF!+'RETA aruanne'!#REF!</f>
        <v>#REF!</v>
      </c>
      <c r="E58" s="25" t="e">
        <f t="shared" si="11"/>
        <v>#REF!</v>
      </c>
      <c r="G58" s="26">
        <v>13259048.369999999</v>
      </c>
      <c r="H58" s="25" t="e">
        <f>'RETA aruanne'!#REF!+'RETA aruanne'!#REF!</f>
        <v>#REF!</v>
      </c>
      <c r="I58" s="25" t="e">
        <f t="shared" si="1"/>
        <v>#REF!</v>
      </c>
      <c r="J58" t="s">
        <v>807</v>
      </c>
      <c r="K58" s="26"/>
      <c r="O58" s="26"/>
    </row>
    <row r="59" spans="1:15" hidden="1" x14ac:dyDescent="0.35">
      <c r="A59" t="s">
        <v>48</v>
      </c>
      <c r="B59" t="s">
        <v>49</v>
      </c>
      <c r="C59" s="26">
        <f>6005+1094070.05</f>
        <v>1100075.05</v>
      </c>
      <c r="D59" s="25"/>
      <c r="E59" s="25">
        <f t="shared" si="11"/>
        <v>1100075.05</v>
      </c>
      <c r="G59" s="26">
        <f>100+825828.5</f>
        <v>825928.5</v>
      </c>
      <c r="H59" s="25"/>
      <c r="I59" s="25">
        <f t="shared" ref="I59" si="15">G59-H59</f>
        <v>825928.5</v>
      </c>
      <c r="J59" t="s">
        <v>807</v>
      </c>
      <c r="K59" s="26">
        <f>C59+C66</f>
        <v>-43705.20999999973</v>
      </c>
      <c r="O59" s="26"/>
    </row>
    <row r="60" spans="1:15" hidden="1" x14ac:dyDescent="0.35">
      <c r="A60" t="s">
        <v>48</v>
      </c>
      <c r="B60" t="s">
        <v>5</v>
      </c>
      <c r="C60" s="26">
        <v>120925450.59999999</v>
      </c>
      <c r="D60" s="25" t="e">
        <f>'RETA aruanne'!#REF!+'RETA aruanne'!#REF!+'RETA aruanne'!#REF!+'RETA aruanne'!#REF!</f>
        <v>#REF!</v>
      </c>
      <c r="E60" s="25" t="e">
        <f t="shared" si="11"/>
        <v>#REF!</v>
      </c>
      <c r="G60" s="26">
        <v>88462362.450000003</v>
      </c>
      <c r="H60" s="25" t="e">
        <f>'RETA aruanne'!#REF!+'RETA aruanne'!#REF!+'RETA aruanne'!#REF!+'RETA aruanne'!#REF!</f>
        <v>#REF!</v>
      </c>
      <c r="I60" s="25" t="e">
        <f t="shared" si="1"/>
        <v>#REF!</v>
      </c>
      <c r="K60" s="26"/>
      <c r="O60" s="26"/>
    </row>
    <row r="61" spans="1:15" hidden="1" x14ac:dyDescent="0.35">
      <c r="A61" t="s">
        <v>48</v>
      </c>
      <c r="B61" t="s">
        <v>994</v>
      </c>
      <c r="C61" s="26">
        <v>-42375.96</v>
      </c>
      <c r="D61" s="25" t="e">
        <f>'RETA aruanne'!#REF!+'RETA aruanne'!#REF!</f>
        <v>#REF!</v>
      </c>
      <c r="E61" s="25" t="e">
        <f t="shared" si="11"/>
        <v>#REF!</v>
      </c>
      <c r="G61" s="26">
        <v>-272825.05</v>
      </c>
      <c r="H61" s="25" t="e">
        <f>'RETA aruanne'!#REF!+'RETA aruanne'!#REF!</f>
        <v>#REF!</v>
      </c>
      <c r="I61" s="25" t="e">
        <f t="shared" si="1"/>
        <v>#REF!</v>
      </c>
      <c r="K61" s="26"/>
      <c r="O61" s="26"/>
    </row>
    <row r="62" spans="1:15" hidden="1" x14ac:dyDescent="0.35">
      <c r="A62" t="s">
        <v>48</v>
      </c>
      <c r="B62" t="s">
        <v>9</v>
      </c>
      <c r="C62" s="26">
        <v>16016</v>
      </c>
      <c r="D62" s="25" t="e">
        <f>'RETA aruanne'!#REF!</f>
        <v>#REF!</v>
      </c>
      <c r="E62" s="25" t="e">
        <f t="shared" si="11"/>
        <v>#REF!</v>
      </c>
      <c r="G62" s="26">
        <v>7000</v>
      </c>
      <c r="H62" s="25" t="e">
        <f>'RETA aruanne'!#REF!</f>
        <v>#REF!</v>
      </c>
      <c r="I62" s="25" t="e">
        <f t="shared" si="1"/>
        <v>#REF!</v>
      </c>
      <c r="J62" s="26" t="s">
        <v>856</v>
      </c>
      <c r="K62" s="26"/>
      <c r="O62" s="26"/>
    </row>
    <row r="63" spans="1:15" hidden="1" x14ac:dyDescent="0.35">
      <c r="A63" t="s">
        <v>48</v>
      </c>
      <c r="B63" t="s">
        <v>720</v>
      </c>
      <c r="C63" s="26">
        <f>105691.81-1182820.43</f>
        <v>-1077128.6199999999</v>
      </c>
      <c r="D63" s="25" t="e">
        <f>'RETA aruanne'!#REF!+'RETA aruanne'!#REF!</f>
        <v>#REF!</v>
      </c>
      <c r="E63" s="25" t="e">
        <f t="shared" si="11"/>
        <v>#REF!</v>
      </c>
      <c r="G63" s="26">
        <f>141957.96-22878379.14</f>
        <v>-22736421.18</v>
      </c>
      <c r="H63" s="25" t="e">
        <f>'RETA aruanne'!#REF!+'RETA aruanne'!#REF!</f>
        <v>#REF!</v>
      </c>
      <c r="I63" s="25" t="e">
        <f t="shared" si="1"/>
        <v>#REF!</v>
      </c>
      <c r="K63" s="26"/>
      <c r="O63" s="26"/>
    </row>
    <row r="64" spans="1:15" hidden="1" x14ac:dyDescent="0.35">
      <c r="A64" t="s">
        <v>48</v>
      </c>
      <c r="B64" t="s">
        <v>41</v>
      </c>
      <c r="C64" s="26"/>
      <c r="D64" s="25" t="e">
        <f>'RETA aruanne'!#REF!</f>
        <v>#REF!</v>
      </c>
      <c r="E64" s="25" t="e">
        <f t="shared" si="11"/>
        <v>#REF!</v>
      </c>
      <c r="G64" s="26">
        <v>0</v>
      </c>
      <c r="H64" s="25" t="e">
        <f>'RETA aruanne'!#REF!</f>
        <v>#REF!</v>
      </c>
      <c r="I64" s="25" t="e">
        <f t="shared" si="1"/>
        <v>#REF!</v>
      </c>
      <c r="K64" s="26"/>
      <c r="O64" s="26"/>
    </row>
    <row r="65" spans="1:15" hidden="1" x14ac:dyDescent="0.35">
      <c r="A65" t="s">
        <v>48</v>
      </c>
      <c r="B65" t="s">
        <v>796</v>
      </c>
      <c r="C65" s="26">
        <f>-1090414666.34-C68-C71-C72</f>
        <v>-1065243320.6899998</v>
      </c>
      <c r="D65" s="25" t="e">
        <f>'RETA aruanne'!#REF!+'RETA aruanne'!#REF!+'RETA aruanne'!#REF!+'RETA aruanne'!#REF!+'RETA aruanne'!#REF!-D68</f>
        <v>#REF!</v>
      </c>
      <c r="E65" s="25" t="e">
        <f t="shared" si="11"/>
        <v>#REF!</v>
      </c>
      <c r="G65" s="26">
        <f>-1003049115.22-G68-G71-G72</f>
        <v>-983509463.07999992</v>
      </c>
      <c r="H65" s="25" t="e">
        <f>'RETA aruanne'!#REF!+'RETA aruanne'!#REF!+'RETA aruanne'!#REF!+'RETA aruanne'!#REF!+'RETA aruanne'!#REF!-H68</f>
        <v>#REF!</v>
      </c>
      <c r="I65" s="25" t="e">
        <f t="shared" si="1"/>
        <v>#REF!</v>
      </c>
      <c r="K65" s="26"/>
      <c r="O65" s="26"/>
    </row>
    <row r="66" spans="1:15" hidden="1" x14ac:dyDescent="0.35">
      <c r="A66" t="s">
        <v>48</v>
      </c>
      <c r="B66" t="s">
        <v>50</v>
      </c>
      <c r="C66" s="26">
        <f>-500-32265.64-1061859.41-49155.21</f>
        <v>-1143780.2599999998</v>
      </c>
      <c r="D66" s="25"/>
      <c r="E66" s="25">
        <f t="shared" si="11"/>
        <v>-1143780.2599999998</v>
      </c>
      <c r="G66" s="26">
        <f>-1000-825828.5+408.77</f>
        <v>-826419.73</v>
      </c>
      <c r="H66" s="25"/>
      <c r="I66" s="25">
        <f t="shared" si="1"/>
        <v>-826419.73</v>
      </c>
      <c r="K66" s="26"/>
      <c r="O66" s="26"/>
    </row>
    <row r="67" spans="1:15" hidden="1" x14ac:dyDescent="0.35">
      <c r="A67" t="s">
        <v>48</v>
      </c>
      <c r="B67" t="s">
        <v>42</v>
      </c>
      <c r="C67" s="26"/>
      <c r="D67" s="25"/>
      <c r="E67" s="25">
        <f t="shared" si="11"/>
        <v>0</v>
      </c>
      <c r="G67" s="26">
        <v>-416.94</v>
      </c>
      <c r="H67" s="25"/>
      <c r="I67" s="25">
        <f t="shared" si="1"/>
        <v>-416.94</v>
      </c>
      <c r="K67" s="26"/>
      <c r="O67" s="26"/>
    </row>
    <row r="68" spans="1:15" hidden="1" x14ac:dyDescent="0.35">
      <c r="A68" t="s">
        <v>48</v>
      </c>
      <c r="B68" t="s">
        <v>657</v>
      </c>
      <c r="C68" s="26">
        <v>-18079164.579999998</v>
      </c>
      <c r="D68" s="25" t="e">
        <f>'RETA aruanne'!#REF!</f>
        <v>#REF!</v>
      </c>
      <c r="E68" s="25" t="e">
        <f t="shared" si="11"/>
        <v>#REF!</v>
      </c>
      <c r="F68" s="29"/>
      <c r="G68" s="26">
        <v>-15486439.84</v>
      </c>
      <c r="H68" s="25" t="e">
        <f>'RETA aruanne'!#REF!</f>
        <v>#REF!</v>
      </c>
      <c r="I68" s="25" t="e">
        <f t="shared" si="1"/>
        <v>#REF!</v>
      </c>
      <c r="K68" s="26"/>
      <c r="O68" s="26"/>
    </row>
    <row r="69" spans="1:15" hidden="1" x14ac:dyDescent="0.35">
      <c r="A69" t="s">
        <v>48</v>
      </c>
      <c r="B69" s="28" t="s">
        <v>797</v>
      </c>
      <c r="C69" s="26">
        <f>-24728631.46+3082.8-6009075.09</f>
        <v>-30734623.75</v>
      </c>
      <c r="D69" s="25" t="e">
        <f>'RETA aruanne'!#REF!+'RETA aruanne'!#REF!-D71</f>
        <v>#REF!</v>
      </c>
      <c r="E69" s="25" t="e">
        <f t="shared" si="11"/>
        <v>#REF!</v>
      </c>
      <c r="F69" s="29"/>
      <c r="G69" s="26">
        <v>-18608825.109999999</v>
      </c>
      <c r="H69" s="25" t="e">
        <f>'RETA aruanne'!#REF!+'RETA aruanne'!#REF!-H71</f>
        <v>#REF!</v>
      </c>
      <c r="I69" s="25" t="e">
        <f t="shared" si="1"/>
        <v>#REF!</v>
      </c>
      <c r="K69" s="26"/>
      <c r="O69" s="26"/>
    </row>
    <row r="70" spans="1:15" hidden="1" x14ac:dyDescent="0.35">
      <c r="A70" t="s">
        <v>48</v>
      </c>
      <c r="B70" t="s">
        <v>51</v>
      </c>
      <c r="C70" s="26">
        <f>21552-3082.8</f>
        <v>18469.2</v>
      </c>
      <c r="D70" s="25"/>
      <c r="E70" s="25">
        <f t="shared" si="11"/>
        <v>18469.2</v>
      </c>
      <c r="G70" s="26">
        <v>3082.8</v>
      </c>
      <c r="H70" s="25"/>
      <c r="I70" s="25">
        <f t="shared" si="1"/>
        <v>3082.8</v>
      </c>
      <c r="K70" s="26"/>
      <c r="O70" s="26"/>
    </row>
    <row r="71" spans="1:15" hidden="1" x14ac:dyDescent="0.35">
      <c r="A71" t="s">
        <v>48</v>
      </c>
      <c r="B71" t="s">
        <v>794</v>
      </c>
      <c r="C71" s="26">
        <v>-7092181.0700000003</v>
      </c>
      <c r="D71" s="25" t="e">
        <f>'RETA aruanne'!#REF!</f>
        <v>#REF!</v>
      </c>
      <c r="E71" s="25" t="e">
        <f t="shared" si="11"/>
        <v>#REF!</v>
      </c>
      <c r="G71" s="26">
        <v>-4051785.83</v>
      </c>
      <c r="H71" s="25" t="e">
        <f>'RETA aruanne'!#REF!</f>
        <v>#REF!</v>
      </c>
      <c r="I71" s="25" t="e">
        <f t="shared" si="1"/>
        <v>#REF!</v>
      </c>
      <c r="K71" s="26"/>
      <c r="O71" s="26"/>
    </row>
    <row r="72" spans="1:15" hidden="1" x14ac:dyDescent="0.35">
      <c r="A72" t="s">
        <v>48</v>
      </c>
      <c r="B72" t="s">
        <v>659</v>
      </c>
      <c r="C72" s="26"/>
      <c r="D72" s="25" t="e">
        <f>'RETA aruanne'!#REF!</f>
        <v>#REF!</v>
      </c>
      <c r="E72" s="25" t="e">
        <f t="shared" si="11"/>
        <v>#REF!</v>
      </c>
      <c r="G72" s="26">
        <v>-1426.47</v>
      </c>
      <c r="H72" s="25" t="e">
        <f>'RETA aruanne'!#REF!</f>
        <v>#REF!</v>
      </c>
      <c r="I72" s="25" t="e">
        <f t="shared" si="1"/>
        <v>#REF!</v>
      </c>
      <c r="J72" s="2"/>
      <c r="K72" s="26"/>
      <c r="O72" s="26"/>
    </row>
    <row r="73" spans="1:15" hidden="1" x14ac:dyDescent="0.35">
      <c r="A73" t="s">
        <v>48</v>
      </c>
      <c r="B73" t="s">
        <v>52</v>
      </c>
      <c r="C73" s="26"/>
      <c r="D73" s="26" t="e">
        <f>'RETA aruanne'!#REF!</f>
        <v>#REF!</v>
      </c>
      <c r="E73" s="25" t="e">
        <f t="shared" si="11"/>
        <v>#REF!</v>
      </c>
      <c r="G73" s="26">
        <v>-6484.02</v>
      </c>
      <c r="H73" s="26" t="e">
        <f>'RETA aruanne'!#REF!</f>
        <v>#REF!</v>
      </c>
      <c r="I73" s="25" t="e">
        <f t="shared" si="1"/>
        <v>#REF!</v>
      </c>
      <c r="J73" s="2"/>
      <c r="K73" s="26"/>
      <c r="O73" s="26"/>
    </row>
    <row r="74" spans="1:15" hidden="1" x14ac:dyDescent="0.35">
      <c r="A74" t="s">
        <v>48</v>
      </c>
      <c r="B74" t="s">
        <v>53</v>
      </c>
      <c r="C74" s="26">
        <f>-51948.22</f>
        <v>-51948.22</v>
      </c>
      <c r="D74" s="26"/>
      <c r="E74" s="25">
        <f t="shared" si="11"/>
        <v>-51948.22</v>
      </c>
      <c r="G74" s="26">
        <v>-54111.08</v>
      </c>
      <c r="H74" s="26">
        <v>0</v>
      </c>
      <c r="I74" s="25">
        <f t="shared" si="1"/>
        <v>-54111.08</v>
      </c>
      <c r="J74" s="2" t="s">
        <v>802</v>
      </c>
      <c r="K74" s="26"/>
      <c r="O74" s="26"/>
    </row>
    <row r="75" spans="1:15" hidden="1" x14ac:dyDescent="0.35">
      <c r="A75" t="s">
        <v>48</v>
      </c>
      <c r="B75" t="s">
        <v>54</v>
      </c>
      <c r="C75" s="26">
        <v>72816.789999999994</v>
      </c>
      <c r="D75" s="26" t="e">
        <f>'RETA aruanne'!#REF!-D74</f>
        <v>#REF!</v>
      </c>
      <c r="E75" s="25" t="e">
        <f t="shared" si="11"/>
        <v>#REF!</v>
      </c>
      <c r="G75" s="26">
        <f>85181.99+1174</f>
        <v>86355.99</v>
      </c>
      <c r="H75" s="26" t="e">
        <f>'RETA aruanne'!#REF!</f>
        <v>#REF!</v>
      </c>
      <c r="I75" s="25" t="e">
        <f t="shared" si="1"/>
        <v>#REF!</v>
      </c>
      <c r="J75" s="2" t="s">
        <v>802</v>
      </c>
      <c r="K75" s="26"/>
      <c r="O75" s="26"/>
    </row>
    <row r="76" spans="1:15" hidden="1" x14ac:dyDescent="0.35">
      <c r="A76" t="s">
        <v>1147</v>
      </c>
      <c r="B76" t="s">
        <v>6</v>
      </c>
      <c r="C76" s="142">
        <v>32127607.440000001</v>
      </c>
      <c r="D76" s="25" t="e">
        <f>'RETA aruanne'!#REF!</f>
        <v>#REF!</v>
      </c>
      <c r="E76" s="25" t="e">
        <f t="shared" si="0"/>
        <v>#REF!</v>
      </c>
      <c r="G76" s="142">
        <v>31706634.75</v>
      </c>
      <c r="H76" s="25" t="e">
        <f>'RETA aruanne'!#REF!</f>
        <v>#REF!</v>
      </c>
      <c r="I76" s="25" t="e">
        <f t="shared" si="1"/>
        <v>#REF!</v>
      </c>
      <c r="K76" s="26"/>
      <c r="O76" s="26"/>
    </row>
    <row r="77" spans="1:15" hidden="1" x14ac:dyDescent="0.35">
      <c r="A77" t="s">
        <v>1147</v>
      </c>
      <c r="B77" t="s">
        <v>7</v>
      </c>
      <c r="C77" s="142">
        <f>14865005.5</f>
        <v>14865005.5</v>
      </c>
      <c r="D77" s="25" t="e">
        <f>'RETA aruanne'!#REF!+'RETA aruanne'!#REF!</f>
        <v>#REF!</v>
      </c>
      <c r="E77" s="25" t="e">
        <f t="shared" si="0"/>
        <v>#REF!</v>
      </c>
      <c r="G77" s="142">
        <v>6157889.0899999999</v>
      </c>
      <c r="H77" s="25" t="e">
        <f>'RETA aruanne'!#REF!+'RETA aruanne'!#REF!</f>
        <v>#REF!</v>
      </c>
      <c r="I77" s="25" t="e">
        <f t="shared" si="1"/>
        <v>#REF!</v>
      </c>
      <c r="J77" t="s">
        <v>807</v>
      </c>
      <c r="K77" s="26"/>
      <c r="O77" s="26"/>
    </row>
    <row r="78" spans="1:15" hidden="1" x14ac:dyDescent="0.35">
      <c r="A78" t="s">
        <v>1147</v>
      </c>
      <c r="B78" t="s">
        <v>5</v>
      </c>
      <c r="C78" s="142">
        <v>45405192.850000001</v>
      </c>
      <c r="D78" s="25" t="e">
        <f>'RETA aruanne'!#REF!+'RETA aruanne'!#REF!+'RETA aruanne'!#REF!</f>
        <v>#REF!</v>
      </c>
      <c r="E78" s="25" t="e">
        <f t="shared" si="0"/>
        <v>#REF!</v>
      </c>
      <c r="G78" s="142">
        <v>3366857.14</v>
      </c>
      <c r="H78" s="25" t="e">
        <f>'RETA aruanne'!#REF!+'RETA aruanne'!#REF!+'RETA aruanne'!#REF!</f>
        <v>#REF!</v>
      </c>
      <c r="I78" s="25" t="e">
        <f t="shared" si="1"/>
        <v>#REF!</v>
      </c>
      <c r="J78" t="s">
        <v>807</v>
      </c>
      <c r="K78" s="26"/>
      <c r="O78" s="26"/>
    </row>
    <row r="79" spans="1:15" hidden="1" x14ac:dyDescent="0.35">
      <c r="A79" t="s">
        <v>1147</v>
      </c>
      <c r="B79" t="s">
        <v>799</v>
      </c>
      <c r="C79" s="142">
        <v>2202.8000000000002</v>
      </c>
      <c r="D79" s="25" t="e">
        <f>'RETA aruanne'!#REF!</f>
        <v>#REF!</v>
      </c>
      <c r="E79" s="25" t="e">
        <f t="shared" si="0"/>
        <v>#REF!</v>
      </c>
      <c r="G79" s="142">
        <v>1685.5</v>
      </c>
      <c r="H79" s="25" t="e">
        <f>'RETA aruanne'!#REF!</f>
        <v>#REF!</v>
      </c>
      <c r="I79" s="25" t="e">
        <f t="shared" si="1"/>
        <v>#REF!</v>
      </c>
      <c r="K79" s="26"/>
      <c r="O79" s="26"/>
    </row>
    <row r="80" spans="1:15" hidden="1" x14ac:dyDescent="0.35">
      <c r="A80" t="s">
        <v>1147</v>
      </c>
      <c r="B80" t="s">
        <v>806</v>
      </c>
      <c r="C80" s="142">
        <v>3823047.21</v>
      </c>
      <c r="D80" s="25" t="e">
        <f>'RETA aruanne'!#REF!</f>
        <v>#REF!</v>
      </c>
      <c r="E80" s="25" t="e">
        <f t="shared" si="0"/>
        <v>#REF!</v>
      </c>
      <c r="G80" s="142">
        <v>4451348.3899999997</v>
      </c>
      <c r="H80" s="25" t="e">
        <f>'RETA aruanne'!#REF!</f>
        <v>#REF!</v>
      </c>
      <c r="I80" s="25" t="e">
        <f t="shared" si="1"/>
        <v>#REF!</v>
      </c>
      <c r="J80" s="26" t="s">
        <v>856</v>
      </c>
      <c r="K80" s="26"/>
      <c r="O80" s="26"/>
    </row>
    <row r="81" spans="1:15" hidden="1" x14ac:dyDescent="0.35">
      <c r="A81" t="s">
        <v>1147</v>
      </c>
      <c r="B81" t="s">
        <v>720</v>
      </c>
      <c r="C81" s="142">
        <f>436.08+6974183.46</f>
        <v>6974619.54</v>
      </c>
      <c r="D81" s="25" t="e">
        <f>'RETA aruanne'!#REF!</f>
        <v>#REF!</v>
      </c>
      <c r="E81" s="25" t="e">
        <f t="shared" si="0"/>
        <v>#REF!</v>
      </c>
      <c r="G81" s="142">
        <f>391.84+7165178.37</f>
        <v>7165570.21</v>
      </c>
      <c r="H81" s="25" t="e">
        <f>'RETA aruanne'!#REF!</f>
        <v>#REF!</v>
      </c>
      <c r="I81" s="25" t="e">
        <f t="shared" si="1"/>
        <v>#REF!</v>
      </c>
      <c r="K81" s="26"/>
      <c r="O81" s="26"/>
    </row>
    <row r="82" spans="1:15" hidden="1" x14ac:dyDescent="0.35">
      <c r="A82" t="s">
        <v>1147</v>
      </c>
      <c r="B82" t="s">
        <v>49</v>
      </c>
      <c r="C82" s="142">
        <f>195+1326081.72+10.84</f>
        <v>1326287.56</v>
      </c>
      <c r="D82" s="25"/>
      <c r="E82" s="25">
        <f t="shared" si="0"/>
        <v>1326287.56</v>
      </c>
      <c r="G82" s="142">
        <f>195+31900.65+150006.44+437</f>
        <v>182539.09</v>
      </c>
      <c r="H82" s="25"/>
      <c r="I82" s="25">
        <f t="shared" si="1"/>
        <v>182539.09</v>
      </c>
      <c r="J82" t="s">
        <v>807</v>
      </c>
      <c r="K82" s="26"/>
      <c r="O82" s="26"/>
    </row>
    <row r="83" spans="1:15" hidden="1" x14ac:dyDescent="0.35">
      <c r="A83" t="s">
        <v>1147</v>
      </c>
      <c r="B83" t="s">
        <v>41</v>
      </c>
      <c r="D83" s="25" t="e">
        <f>'RETA aruanne'!#REF!</f>
        <v>#REF!</v>
      </c>
      <c r="E83" s="25" t="e">
        <f t="shared" si="0"/>
        <v>#REF!</v>
      </c>
      <c r="G83" s="142">
        <v>729137.51</v>
      </c>
      <c r="H83" s="25" t="e">
        <f>'RETA aruanne'!#REF!</f>
        <v>#REF!</v>
      </c>
      <c r="I83" s="25" t="e">
        <f t="shared" si="1"/>
        <v>#REF!</v>
      </c>
      <c r="K83" s="26"/>
      <c r="O83" s="26"/>
    </row>
    <row r="84" spans="1:15" hidden="1" x14ac:dyDescent="0.35">
      <c r="A84" t="s">
        <v>1147</v>
      </c>
      <c r="B84" t="s">
        <v>796</v>
      </c>
      <c r="C84" s="142">
        <f>-359118433.63-C87-C90</f>
        <v>-337280940.88</v>
      </c>
      <c r="D84" s="25" t="e">
        <f>'RETA aruanne'!#REF!+'RETA aruanne'!#REF!+'RETA aruanne'!#REF!+'RETA aruanne'!#REF!+'RETA aruanne'!#REF!-'RETA aruanne'!#REF!</f>
        <v>#REF!</v>
      </c>
      <c r="E84" s="25" t="e">
        <f t="shared" si="0"/>
        <v>#REF!</v>
      </c>
      <c r="G84" s="142">
        <f>-223248946.16-G87-G90-G93</f>
        <v>-212520757</v>
      </c>
      <c r="H84" s="25" t="e">
        <f>'RETA aruanne'!#REF!+'RETA aruanne'!#REF!+'RETA aruanne'!#REF!+'RETA aruanne'!#REF!+'RETA aruanne'!#REF!-'RETA aruanne'!#REF!</f>
        <v>#REF!</v>
      </c>
      <c r="I84" s="25" t="e">
        <f t="shared" si="1"/>
        <v>#REF!</v>
      </c>
      <c r="K84" s="26"/>
      <c r="O84" s="26"/>
    </row>
    <row r="85" spans="1:15" hidden="1" x14ac:dyDescent="0.35">
      <c r="A85" t="s">
        <v>1147</v>
      </c>
      <c r="B85" t="s">
        <v>50</v>
      </c>
      <c r="C85" s="142">
        <f>-7283.09-1318809.47-195</f>
        <v>-1326287.56</v>
      </c>
      <c r="D85" s="25"/>
      <c r="E85" s="25">
        <f t="shared" si="0"/>
        <v>-1326287.56</v>
      </c>
      <c r="G85" s="142">
        <f>-903.6-181003.49-632</f>
        <v>-182539.09</v>
      </c>
      <c r="H85" s="25"/>
      <c r="I85" s="25">
        <f t="shared" si="1"/>
        <v>-182539.09</v>
      </c>
      <c r="K85" s="26"/>
      <c r="O85" s="26"/>
    </row>
    <row r="86" spans="1:15" hidden="1" x14ac:dyDescent="0.35">
      <c r="A86" t="s">
        <v>1147</v>
      </c>
      <c r="B86" t="s">
        <v>42</v>
      </c>
      <c r="C86" s="142">
        <v>-5222502</v>
      </c>
      <c r="D86" s="25" t="e">
        <f>'RETA aruanne'!#REF!</f>
        <v>#REF!</v>
      </c>
      <c r="E86" s="25" t="e">
        <f t="shared" si="0"/>
        <v>#REF!</v>
      </c>
      <c r="G86" s="142">
        <v>-6878335</v>
      </c>
      <c r="H86" s="25" t="e">
        <f>'RETA aruanne'!#REF!</f>
        <v>#REF!</v>
      </c>
      <c r="I86" s="25" t="e">
        <f t="shared" si="1"/>
        <v>#REF!</v>
      </c>
      <c r="K86" s="26"/>
      <c r="O86" s="26"/>
    </row>
    <row r="87" spans="1:15" hidden="1" x14ac:dyDescent="0.35">
      <c r="A87" t="s">
        <v>1147</v>
      </c>
      <c r="B87" s="28" t="s">
        <v>657</v>
      </c>
      <c r="C87" s="142">
        <v>-17891646.5</v>
      </c>
      <c r="D87" s="25" t="e">
        <f>'RETA aruanne'!#REF!</f>
        <v>#REF!</v>
      </c>
      <c r="E87" s="25" t="e">
        <f t="shared" si="0"/>
        <v>#REF!</v>
      </c>
      <c r="F87" s="29"/>
      <c r="G87" s="142">
        <v>-9885646.8499999996</v>
      </c>
      <c r="H87" s="25" t="e">
        <f>'RETA aruanne'!#REF!</f>
        <v>#REF!</v>
      </c>
      <c r="I87" s="25" t="e">
        <f t="shared" si="1"/>
        <v>#REF!</v>
      </c>
      <c r="K87" s="26"/>
      <c r="O87" s="26"/>
    </row>
    <row r="88" spans="1:15" hidden="1" x14ac:dyDescent="0.35">
      <c r="A88" t="s">
        <v>1147</v>
      </c>
      <c r="B88" s="28" t="s">
        <v>797</v>
      </c>
      <c r="C88" s="142">
        <f>-6285458.05+59427-17422369.64</f>
        <v>-23648400.690000001</v>
      </c>
      <c r="D88" s="25" t="e">
        <f>'RETA aruanne'!#REF!+'RETA aruanne'!#REF!-D90</f>
        <v>#REF!</v>
      </c>
      <c r="E88" s="25" t="e">
        <f t="shared" si="0"/>
        <v>#REF!</v>
      </c>
      <c r="F88" s="29"/>
      <c r="G88" s="142">
        <f>-10618659.64</f>
        <v>-10618659.640000001</v>
      </c>
      <c r="H88" s="25" t="e">
        <f>'RETA aruanne'!#REF!+'RETA aruanne'!#REF!-'RETA aruanne'!#REF!</f>
        <v>#REF!</v>
      </c>
      <c r="I88" s="25" t="e">
        <f t="shared" si="1"/>
        <v>#REF!</v>
      </c>
      <c r="K88" s="26"/>
      <c r="O88" s="26"/>
    </row>
    <row r="89" spans="1:15" hidden="1" x14ac:dyDescent="0.35">
      <c r="A89" t="s">
        <v>1147</v>
      </c>
      <c r="B89" t="s">
        <v>51</v>
      </c>
      <c r="C89" s="142">
        <f>56790-59427</f>
        <v>-2637</v>
      </c>
      <c r="D89" s="25">
        <v>0</v>
      </c>
      <c r="E89" s="25">
        <f t="shared" si="0"/>
        <v>-2637</v>
      </c>
      <c r="G89" s="142">
        <v>59427</v>
      </c>
      <c r="H89" s="25">
        <v>0</v>
      </c>
      <c r="I89" s="25">
        <f t="shared" si="1"/>
        <v>59427</v>
      </c>
      <c r="K89" s="26"/>
      <c r="O89" s="26"/>
    </row>
    <row r="90" spans="1:15" hidden="1" x14ac:dyDescent="0.35">
      <c r="A90" t="s">
        <v>1147</v>
      </c>
      <c r="B90" t="s">
        <v>794</v>
      </c>
      <c r="C90" s="142">
        <v>-3945846.25</v>
      </c>
      <c r="D90" s="25" t="e">
        <f>'RETA aruanne'!#REF!</f>
        <v>#REF!</v>
      </c>
      <c r="E90" s="25" t="e">
        <f t="shared" si="0"/>
        <v>#REF!</v>
      </c>
      <c r="G90" s="142">
        <v>-842542.31</v>
      </c>
      <c r="H90" s="25" t="e">
        <f>'RETA aruanne'!#REF!</f>
        <v>#REF!</v>
      </c>
      <c r="I90" s="25" t="e">
        <f t="shared" si="1"/>
        <v>#REF!</v>
      </c>
      <c r="K90" s="26"/>
      <c r="O90" s="26"/>
    </row>
    <row r="91" spans="1:15" hidden="1" x14ac:dyDescent="0.35">
      <c r="A91" t="s">
        <v>1147</v>
      </c>
      <c r="B91" t="s">
        <v>808</v>
      </c>
      <c r="D91" s="25" t="e">
        <f>'RETA aruanne'!#REF!-'RETA aruanne'!#REF!</f>
        <v>#REF!</v>
      </c>
      <c r="E91" s="25" t="e">
        <f t="shared" si="0"/>
        <v>#REF!</v>
      </c>
      <c r="G91" s="142"/>
      <c r="H91" s="25" t="e">
        <f>'RETA aruanne'!#REF!-'RETA aruanne'!#REF!</f>
        <v>#REF!</v>
      </c>
      <c r="I91" s="25" t="e">
        <f t="shared" si="1"/>
        <v>#REF!</v>
      </c>
      <c r="K91" s="26"/>
      <c r="O91" s="26"/>
    </row>
    <row r="92" spans="1:15" hidden="1" x14ac:dyDescent="0.35">
      <c r="A92" t="s">
        <v>1147</v>
      </c>
      <c r="B92" t="s">
        <v>52</v>
      </c>
      <c r="D92" s="25"/>
      <c r="E92" s="25">
        <f t="shared" si="0"/>
        <v>0</v>
      </c>
      <c r="G92" s="142">
        <v>0</v>
      </c>
      <c r="H92" s="25"/>
      <c r="I92" s="25">
        <f t="shared" ref="I92:I93" si="16">G92-H92</f>
        <v>0</v>
      </c>
      <c r="K92" s="26"/>
      <c r="O92" s="26"/>
    </row>
    <row r="93" spans="1:15" hidden="1" x14ac:dyDescent="0.35">
      <c r="A93" t="s">
        <v>1147</v>
      </c>
      <c r="B93" t="s">
        <v>659</v>
      </c>
      <c r="D93" s="25" t="e">
        <f>'RETA aruanne'!#REF!</f>
        <v>#REF!</v>
      </c>
      <c r="E93" s="25" t="e">
        <f t="shared" ref="E93" si="17">C93-D93</f>
        <v>#REF!</v>
      </c>
      <c r="G93" s="142">
        <v>0</v>
      </c>
      <c r="H93" s="25" t="e">
        <f>'RETA aruanne'!#REF!</f>
        <v>#REF!</v>
      </c>
      <c r="I93" s="25" t="e">
        <f t="shared" si="16"/>
        <v>#REF!</v>
      </c>
      <c r="K93" s="26"/>
      <c r="O93" s="26"/>
    </row>
    <row r="94" spans="1:15" hidden="1" x14ac:dyDescent="0.35">
      <c r="A94" t="s">
        <v>1147</v>
      </c>
      <c r="B94" t="s">
        <v>988</v>
      </c>
      <c r="D94" s="25"/>
      <c r="E94" s="25">
        <f t="shared" si="0"/>
        <v>0</v>
      </c>
      <c r="G94" s="142">
        <v>585073.56999999995</v>
      </c>
      <c r="H94" s="25" t="e">
        <f>'RETA aruanne'!#REF!</f>
        <v>#REF!</v>
      </c>
      <c r="I94" s="25" t="e">
        <f t="shared" si="1"/>
        <v>#REF!</v>
      </c>
      <c r="K94" s="26"/>
      <c r="O94" s="26"/>
    </row>
    <row r="95" spans="1:15" hidden="1" x14ac:dyDescent="0.35">
      <c r="A95" t="s">
        <v>55</v>
      </c>
      <c r="B95" t="s">
        <v>7</v>
      </c>
      <c r="C95" s="142">
        <v>2692718.91</v>
      </c>
      <c r="D95" s="25" t="e">
        <f>'RETA aruanne'!#REF!</f>
        <v>#REF!</v>
      </c>
      <c r="E95" s="25" t="e">
        <f t="shared" si="0"/>
        <v>#REF!</v>
      </c>
      <c r="G95" s="142">
        <v>2142162.86</v>
      </c>
      <c r="H95" s="25" t="e">
        <f>'RETA aruanne'!#REF!</f>
        <v>#REF!</v>
      </c>
      <c r="I95" s="25" t="e">
        <f t="shared" si="1"/>
        <v>#REF!</v>
      </c>
      <c r="K95" s="26"/>
      <c r="O95" s="26"/>
    </row>
    <row r="96" spans="1:15" hidden="1" x14ac:dyDescent="0.35">
      <c r="A96" t="s">
        <v>55</v>
      </c>
      <c r="B96" t="s">
        <v>5</v>
      </c>
      <c r="C96" s="142">
        <v>470786008.93000001</v>
      </c>
      <c r="D96" s="25" t="e">
        <f>'RETA aruanne'!#REF!+'RETA aruanne'!#REF!+'RETA aruanne'!#REF!+'RETA aruanne'!#REF!</f>
        <v>#REF!</v>
      </c>
      <c r="E96" s="25" t="e">
        <f t="shared" si="0"/>
        <v>#REF!</v>
      </c>
      <c r="G96" s="142">
        <v>184269133.30000001</v>
      </c>
      <c r="H96" s="25" t="e">
        <f>'RETA aruanne'!#REF!+'RETA aruanne'!#REF!+'RETA aruanne'!#REF!+'RETA aruanne'!#REF!</f>
        <v>#REF!</v>
      </c>
      <c r="I96" s="25" t="e">
        <f t="shared" si="1"/>
        <v>#REF!</v>
      </c>
      <c r="K96" s="26"/>
      <c r="O96" s="26"/>
    </row>
    <row r="97" spans="1:15" hidden="1" x14ac:dyDescent="0.35">
      <c r="A97" t="s">
        <v>55</v>
      </c>
      <c r="B97" t="s">
        <v>799</v>
      </c>
      <c r="C97" s="142">
        <v>6900456.96</v>
      </c>
      <c r="D97" s="25" t="e">
        <f>'RETA aruanne'!#REF!+'RETA aruanne'!#REF!</f>
        <v>#REF!</v>
      </c>
      <c r="E97" s="25" t="e">
        <f t="shared" si="0"/>
        <v>#REF!</v>
      </c>
      <c r="G97" s="142">
        <v>1327760.02</v>
      </c>
      <c r="H97" s="25" t="e">
        <f>'RETA aruanne'!#REF!+'RETA aruanne'!#REF!</f>
        <v>#REF!</v>
      </c>
      <c r="I97" s="25" t="e">
        <f t="shared" si="1"/>
        <v>#REF!</v>
      </c>
      <c r="K97" s="26"/>
      <c r="O97" s="26"/>
    </row>
    <row r="98" spans="1:15" hidden="1" x14ac:dyDescent="0.35">
      <c r="A98" t="s">
        <v>55</v>
      </c>
      <c r="B98" t="s">
        <v>806</v>
      </c>
      <c r="C98" s="142">
        <v>2669121.44</v>
      </c>
      <c r="D98" s="25" t="e">
        <f>'RETA aruanne'!#REF!+'RETA aruanne'!#REF!</f>
        <v>#REF!</v>
      </c>
      <c r="E98" s="25" t="e">
        <f t="shared" si="0"/>
        <v>#REF!</v>
      </c>
      <c r="G98" s="142">
        <v>675438.72</v>
      </c>
      <c r="H98" s="25" t="e">
        <f>'RETA aruanne'!#REF!</f>
        <v>#REF!</v>
      </c>
      <c r="I98" s="25" t="e">
        <f t="shared" si="1"/>
        <v>#REF!</v>
      </c>
      <c r="K98" s="26"/>
      <c r="O98" s="26"/>
    </row>
    <row r="99" spans="1:15" hidden="1" x14ac:dyDescent="0.35">
      <c r="A99" t="s">
        <v>55</v>
      </c>
      <c r="B99" t="s">
        <v>720</v>
      </c>
      <c r="C99" s="142">
        <v>1174178.21</v>
      </c>
      <c r="D99" s="25" t="e">
        <f>'RETA aruanne'!#REF!</f>
        <v>#REF!</v>
      </c>
      <c r="E99" s="25" t="e">
        <f t="shared" si="0"/>
        <v>#REF!</v>
      </c>
      <c r="G99" s="142">
        <v>1005662.04</v>
      </c>
      <c r="H99" s="25" t="e">
        <f>'RETA aruanne'!#REF!</f>
        <v>#REF!</v>
      </c>
      <c r="I99" s="25" t="e">
        <f t="shared" si="1"/>
        <v>#REF!</v>
      </c>
      <c r="K99" s="26"/>
      <c r="O99" s="26"/>
    </row>
    <row r="100" spans="1:15" hidden="1" x14ac:dyDescent="0.35">
      <c r="A100" t="s">
        <v>55</v>
      </c>
      <c r="B100" t="s">
        <v>49</v>
      </c>
      <c r="D100" s="25"/>
      <c r="E100" s="25">
        <f t="shared" si="0"/>
        <v>0</v>
      </c>
      <c r="G100" s="142">
        <v>0.02</v>
      </c>
      <c r="H100" s="25"/>
      <c r="I100" s="25">
        <f t="shared" si="1"/>
        <v>0.02</v>
      </c>
      <c r="K100" s="26"/>
      <c r="O100" s="26"/>
    </row>
    <row r="101" spans="1:15" hidden="1" x14ac:dyDescent="0.35">
      <c r="A101" t="s">
        <v>55</v>
      </c>
      <c r="B101" t="s">
        <v>41</v>
      </c>
      <c r="C101" s="142">
        <v>674400.99</v>
      </c>
      <c r="D101" s="25" t="e">
        <f>'RETA aruanne'!#REF!</f>
        <v>#REF!</v>
      </c>
      <c r="E101" s="25" t="e">
        <f t="shared" si="0"/>
        <v>#REF!</v>
      </c>
      <c r="G101" s="142">
        <f>273472.82+2062.5</f>
        <v>275535.32</v>
      </c>
      <c r="H101" s="25" t="e">
        <f>'RETA aruanne'!#REF!</f>
        <v>#REF!</v>
      </c>
      <c r="I101" s="25" t="e">
        <f t="shared" si="1"/>
        <v>#REF!</v>
      </c>
      <c r="K101" s="26"/>
      <c r="O101" s="26"/>
    </row>
    <row r="102" spans="1:15" hidden="1" x14ac:dyDescent="0.35">
      <c r="A102" t="s">
        <v>55</v>
      </c>
      <c r="B102" t="s">
        <v>796</v>
      </c>
      <c r="C102" s="142">
        <f>-1465584265.96-C105-C108</f>
        <v>-1173377598.8899999</v>
      </c>
      <c r="D102" s="25" t="e">
        <f>'RETA aruanne'!#REF!+'RETA aruanne'!#REF!+'RETA aruanne'!#REF!+'RETA aruanne'!#REF!-D105+'RETA aruanne'!#REF!</f>
        <v>#REF!</v>
      </c>
      <c r="E102" s="25" t="e">
        <f t="shared" si="0"/>
        <v>#REF!</v>
      </c>
      <c r="G102" s="142">
        <f>-1160446267.98-G105-G108</f>
        <v>-983677564.33000004</v>
      </c>
      <c r="H102" s="25" t="e">
        <f>'RETA aruanne'!#REF!+'RETA aruanne'!#REF!+'RETA aruanne'!#REF!+'RETA aruanne'!#REF!-'RETA aruanne'!#REF!</f>
        <v>#REF!</v>
      </c>
      <c r="I102" s="25" t="e">
        <f t="shared" si="1"/>
        <v>#REF!</v>
      </c>
      <c r="K102" s="26"/>
      <c r="O102" s="26"/>
    </row>
    <row r="103" spans="1:15" hidden="1" x14ac:dyDescent="0.35">
      <c r="A103" t="s">
        <v>55</v>
      </c>
      <c r="B103" t="s">
        <v>50</v>
      </c>
      <c r="D103" s="25"/>
      <c r="E103" s="25">
        <f t="shared" ref="E103:E108" si="18">C103-D103</f>
        <v>0</v>
      </c>
      <c r="G103" s="142">
        <v>-0.02</v>
      </c>
      <c r="H103" s="25"/>
      <c r="I103" s="25">
        <f t="shared" ref="I103:I209" si="19">G103-H103</f>
        <v>-0.02</v>
      </c>
      <c r="K103" s="26"/>
      <c r="O103" s="26"/>
    </row>
    <row r="104" spans="1:15" hidden="1" x14ac:dyDescent="0.35">
      <c r="A104" t="s">
        <v>55</v>
      </c>
      <c r="B104" t="s">
        <v>42</v>
      </c>
      <c r="D104" s="25" t="e">
        <f>'RETA aruanne'!#REF!</f>
        <v>#REF!</v>
      </c>
      <c r="E104" s="25" t="e">
        <f t="shared" si="18"/>
        <v>#REF!</v>
      </c>
      <c r="G104" s="142">
        <v>-29776392</v>
      </c>
      <c r="H104" s="25" t="e">
        <f>'RETA aruanne'!#REF!</f>
        <v>#REF!</v>
      </c>
      <c r="I104" s="25" t="e">
        <f t="shared" si="19"/>
        <v>#REF!</v>
      </c>
      <c r="K104" s="26"/>
      <c r="O104" s="26"/>
    </row>
    <row r="105" spans="1:15" hidden="1" x14ac:dyDescent="0.35">
      <c r="A105" t="s">
        <v>55</v>
      </c>
      <c r="B105" s="28" t="s">
        <v>657</v>
      </c>
      <c r="C105" s="142">
        <v>-162387312.18000001</v>
      </c>
      <c r="D105" s="25" t="e">
        <f>'RETA aruanne'!#REF!</f>
        <v>#REF!</v>
      </c>
      <c r="E105" s="25" t="e">
        <f t="shared" si="18"/>
        <v>#REF!</v>
      </c>
      <c r="F105" s="29"/>
      <c r="G105" s="142">
        <v>-115364411.61</v>
      </c>
      <c r="H105" s="25" t="e">
        <f>'RETA aruanne'!#REF!</f>
        <v>#REF!</v>
      </c>
      <c r="I105" s="25" t="e">
        <f t="shared" si="19"/>
        <v>#REF!</v>
      </c>
      <c r="K105" s="26"/>
      <c r="O105" s="26"/>
    </row>
    <row r="106" spans="1:15" hidden="1" x14ac:dyDescent="0.35">
      <c r="A106" t="s">
        <v>55</v>
      </c>
      <c r="B106" s="28" t="s">
        <v>25</v>
      </c>
      <c r="C106" s="142">
        <f>-612775034.33+101977845-4172391.16</f>
        <v>-514969580.49000007</v>
      </c>
      <c r="D106" s="25" t="e">
        <f>'RETA aruanne'!#REF!-'RETA aruanne'!#REF!</f>
        <v>#REF!</v>
      </c>
      <c r="E106" s="25" t="e">
        <f t="shared" si="18"/>
        <v>#REF!</v>
      </c>
      <c r="F106" s="29"/>
      <c r="G106" s="142">
        <f>-520608690.75+8626985.41-3136553.9+13970000-4132496.03</f>
        <v>-505280755.26999992</v>
      </c>
      <c r="H106" s="25" t="e">
        <f>'RETA aruanne'!#REF!-'RETA aruanne'!#REF!</f>
        <v>#REF!</v>
      </c>
      <c r="I106" s="25" t="e">
        <f t="shared" si="19"/>
        <v>#REF!</v>
      </c>
      <c r="K106" s="26"/>
      <c r="O106" s="26"/>
    </row>
    <row r="107" spans="1:15" hidden="1" x14ac:dyDescent="0.35">
      <c r="A107" t="s">
        <v>55</v>
      </c>
      <c r="B107" t="s">
        <v>51</v>
      </c>
      <c r="C107" s="142">
        <f>145591966.01-78655845</f>
        <v>66936121.00999999</v>
      </c>
      <c r="D107" s="25">
        <v>0</v>
      </c>
      <c r="E107" s="25">
        <f t="shared" ref="E107" si="20">C107-D107</f>
        <v>66936121.00999999</v>
      </c>
      <c r="G107" s="142">
        <f>63771693.6-7891978.03-13970000</f>
        <v>41909715.57</v>
      </c>
      <c r="H107" s="25">
        <v>0</v>
      </c>
      <c r="I107" s="25">
        <f t="shared" ref="I107" si="21">G107-H107</f>
        <v>41909715.57</v>
      </c>
      <c r="K107" s="26"/>
      <c r="O107" s="26"/>
    </row>
    <row r="108" spans="1:15" hidden="1" x14ac:dyDescent="0.35">
      <c r="A108" t="s">
        <v>55</v>
      </c>
      <c r="B108" t="s">
        <v>794</v>
      </c>
      <c r="C108" s="142">
        <v>-129819354.89</v>
      </c>
      <c r="D108" s="25" t="e">
        <f>'RETA aruanne'!#REF!</f>
        <v>#REF!</v>
      </c>
      <c r="E108" s="25" t="e">
        <f t="shared" si="18"/>
        <v>#REF!</v>
      </c>
      <c r="G108" s="142">
        <v>-61404292.039999999</v>
      </c>
      <c r="H108" s="25" t="e">
        <f>'RETA aruanne'!#REF!</f>
        <v>#REF!</v>
      </c>
      <c r="I108" s="25" t="e">
        <f t="shared" si="19"/>
        <v>#REF!</v>
      </c>
      <c r="K108" s="26"/>
      <c r="O108" s="26"/>
    </row>
    <row r="109" spans="1:15" hidden="1" x14ac:dyDescent="0.35">
      <c r="A109" t="s">
        <v>901</v>
      </c>
      <c r="B109" t="s">
        <v>6</v>
      </c>
      <c r="C109" s="26">
        <v>20526771.550000001</v>
      </c>
      <c r="D109" s="25" t="e">
        <f>'RETA aruanne'!#REF!</f>
        <v>#REF!</v>
      </c>
      <c r="E109" s="25" t="e">
        <f t="shared" ref="E109:E135" si="22">C109-D109</f>
        <v>#REF!</v>
      </c>
      <c r="G109" s="26">
        <v>37803326.659999996</v>
      </c>
      <c r="H109" s="25" t="e">
        <f>'RETA aruanne'!#REF!</f>
        <v>#REF!</v>
      </c>
      <c r="I109" s="25" t="e">
        <f t="shared" si="19"/>
        <v>#REF!</v>
      </c>
      <c r="K109" s="26"/>
      <c r="O109" s="26"/>
    </row>
    <row r="110" spans="1:15" hidden="1" x14ac:dyDescent="0.35">
      <c r="A110" t="s">
        <v>901</v>
      </c>
      <c r="B110" t="s">
        <v>7</v>
      </c>
      <c r="C110" s="26">
        <v>345185626.31</v>
      </c>
      <c r="D110" s="25" t="e">
        <f>'RETA aruanne'!#REF!+'RETA aruanne'!#REF!</f>
        <v>#REF!</v>
      </c>
      <c r="E110" s="25" t="e">
        <f t="shared" si="22"/>
        <v>#REF!</v>
      </c>
      <c r="G110" s="26">
        <v>278715561.63</v>
      </c>
      <c r="H110" s="25" t="e">
        <f>'RETA aruanne'!#REF!</f>
        <v>#REF!</v>
      </c>
      <c r="I110" s="25" t="e">
        <f t="shared" si="19"/>
        <v>#REF!</v>
      </c>
      <c r="K110" s="26"/>
      <c r="O110" s="26"/>
    </row>
    <row r="111" spans="1:15" hidden="1" x14ac:dyDescent="0.35">
      <c r="A111" t="s">
        <v>901</v>
      </c>
      <c r="B111" t="s">
        <v>5</v>
      </c>
      <c r="C111" s="26">
        <v>449603334.27999997</v>
      </c>
      <c r="D111" s="25" t="e">
        <f>'RETA aruanne'!#REF!+'RETA aruanne'!#REF!+'RETA aruanne'!#REF!+'RETA aruanne'!#REF!</f>
        <v>#REF!</v>
      </c>
      <c r="E111" s="25" t="e">
        <f t="shared" si="22"/>
        <v>#REF!</v>
      </c>
      <c r="G111" s="26">
        <v>395060670.18000001</v>
      </c>
      <c r="H111" s="25" t="e">
        <f>'RETA aruanne'!#REF!+'RETA aruanne'!#REF!+'RETA aruanne'!#REF!+'RETA aruanne'!#REF!</f>
        <v>#REF!</v>
      </c>
      <c r="I111" s="25" t="e">
        <f t="shared" si="19"/>
        <v>#REF!</v>
      </c>
      <c r="K111" s="26"/>
      <c r="O111" s="26"/>
    </row>
    <row r="112" spans="1:15" hidden="1" x14ac:dyDescent="0.35">
      <c r="A112" t="s">
        <v>901</v>
      </c>
      <c r="B112" t="s">
        <v>994</v>
      </c>
      <c r="C112" s="26">
        <v>577355.76</v>
      </c>
      <c r="D112" s="25" t="e">
        <f>'RETA aruanne'!#REF!+'RETA aruanne'!#REF!</f>
        <v>#REF!</v>
      </c>
      <c r="E112" s="25" t="e">
        <f t="shared" si="22"/>
        <v>#REF!</v>
      </c>
      <c r="G112" s="26">
        <v>265317.38</v>
      </c>
      <c r="H112" s="25" t="e">
        <f>'RETA aruanne'!#REF!+'RETA aruanne'!#REF!</f>
        <v>#REF!</v>
      </c>
      <c r="I112" s="25" t="e">
        <f t="shared" si="19"/>
        <v>#REF!</v>
      </c>
      <c r="K112" s="26"/>
      <c r="O112" s="26"/>
    </row>
    <row r="113" spans="1:15" hidden="1" x14ac:dyDescent="0.35">
      <c r="A113" t="s">
        <v>901</v>
      </c>
      <c r="B113" t="s">
        <v>806</v>
      </c>
      <c r="C113" s="26">
        <v>890551.34</v>
      </c>
      <c r="D113" s="25" t="e">
        <f>'RETA aruanne'!#REF!</f>
        <v>#REF!</v>
      </c>
      <c r="E113" s="25" t="e">
        <f t="shared" si="22"/>
        <v>#REF!</v>
      </c>
      <c r="F113" s="26" t="s">
        <v>856</v>
      </c>
      <c r="G113" s="26">
        <v>863510.11</v>
      </c>
      <c r="H113" s="25" t="e">
        <f>'RETA aruanne'!#REF!</f>
        <v>#REF!</v>
      </c>
      <c r="I113" s="25" t="e">
        <f t="shared" si="19"/>
        <v>#REF!</v>
      </c>
      <c r="K113" s="26"/>
      <c r="O113" s="26"/>
    </row>
    <row r="114" spans="1:15" hidden="1" x14ac:dyDescent="0.35">
      <c r="A114" t="s">
        <v>901</v>
      </c>
      <c r="B114" t="s">
        <v>10</v>
      </c>
      <c r="C114" s="26">
        <f>43065379.08+53406500.81</f>
        <v>96471879.890000001</v>
      </c>
      <c r="D114" s="25" t="e">
        <f>'RETA aruanne'!#REF!+'RETA aruanne'!#REF!</f>
        <v>#REF!</v>
      </c>
      <c r="E114" s="25" t="e">
        <f t="shared" si="22"/>
        <v>#REF!</v>
      </c>
      <c r="F114" s="26" t="s">
        <v>856</v>
      </c>
      <c r="G114" s="26">
        <f>62597359.22+36851880.63</f>
        <v>99449239.849999994</v>
      </c>
      <c r="H114" s="25" t="e">
        <f>'RETA aruanne'!#REF!+'RETA aruanne'!#REF!</f>
        <v>#REF!</v>
      </c>
      <c r="I114" s="25" t="e">
        <f t="shared" si="19"/>
        <v>#REF!</v>
      </c>
      <c r="K114" s="26"/>
      <c r="O114" s="26"/>
    </row>
    <row r="115" spans="1:15" hidden="1" x14ac:dyDescent="0.35">
      <c r="A115" t="s">
        <v>901</v>
      </c>
      <c r="B115" t="s">
        <v>720</v>
      </c>
      <c r="C115" s="26">
        <f>169380.71+7106.89+25478820.37</f>
        <v>25655307.970000003</v>
      </c>
      <c r="D115" s="25" t="e">
        <f>'RETA aruanne'!#REF!</f>
        <v>#REF!</v>
      </c>
      <c r="E115" s="25" t="e">
        <f t="shared" si="22"/>
        <v>#REF!</v>
      </c>
      <c r="G115" s="26">
        <f>89001507.04+144754.09-62597359.22</f>
        <v>26548901.910000011</v>
      </c>
      <c r="H115" s="25" t="e">
        <f>'RETA aruanne'!#REF!</f>
        <v>#REF!</v>
      </c>
      <c r="I115" s="25" t="e">
        <f t="shared" si="19"/>
        <v>#REF!</v>
      </c>
      <c r="K115" s="26"/>
      <c r="O115" s="26"/>
    </row>
    <row r="116" spans="1:15" hidden="1" x14ac:dyDescent="0.35">
      <c r="A116" t="s">
        <v>901</v>
      </c>
      <c r="B116" t="s">
        <v>49</v>
      </c>
      <c r="C116" s="26">
        <f>18034.25+317124.83+359396.64+994.52</f>
        <v>695550.24</v>
      </c>
      <c r="D116" s="25"/>
      <c r="E116" s="25">
        <f t="shared" si="22"/>
        <v>695550.24</v>
      </c>
      <c r="G116" s="26">
        <f>11768+214913.99+1048.08</f>
        <v>227730.06999999998</v>
      </c>
      <c r="H116" s="25"/>
      <c r="I116" s="25">
        <f t="shared" si="19"/>
        <v>227730.06999999998</v>
      </c>
      <c r="K116" s="26"/>
      <c r="O116" s="26"/>
    </row>
    <row r="117" spans="1:15" hidden="1" x14ac:dyDescent="0.35">
      <c r="A117" t="s">
        <v>901</v>
      </c>
      <c r="B117" t="s">
        <v>41</v>
      </c>
      <c r="C117" s="26">
        <v>73704617.480000004</v>
      </c>
      <c r="D117" s="25" t="e">
        <f>'RETA aruanne'!#REF!+'RETA aruanne'!#REF!</f>
        <v>#REF!</v>
      </c>
      <c r="E117" s="25" t="e">
        <f t="shared" si="22"/>
        <v>#REF!</v>
      </c>
      <c r="G117" s="26">
        <f>121902518.45+1067296.87+1637.14</f>
        <v>122971452.46000001</v>
      </c>
      <c r="H117" s="25" t="e">
        <f>'RETA aruanne'!#REF!+'RETA aruanne'!#REF!</f>
        <v>#REF!</v>
      </c>
      <c r="I117" s="25" t="e">
        <f t="shared" si="19"/>
        <v>#REF!</v>
      </c>
      <c r="K117" s="26"/>
      <c r="O117" s="26"/>
    </row>
    <row r="118" spans="1:15" hidden="1" x14ac:dyDescent="0.35">
      <c r="A118" t="s">
        <v>901</v>
      </c>
      <c r="B118" t="s">
        <v>796</v>
      </c>
      <c r="C118" s="26">
        <f>-1073050638.88-C121-C124</f>
        <v>-1025753912.86</v>
      </c>
      <c r="D118" s="25" t="e">
        <f>'RETA aruanne'!#REF!+'RETA aruanne'!#REF!+'RETA aruanne'!#REF!+'RETA aruanne'!#REF!+'RETA aruanne'!#REF!-'RETA aruanne'!#REF!+'RETA aruanne'!#REF!</f>
        <v>#REF!</v>
      </c>
      <c r="E118" s="25" t="e">
        <f t="shared" si="22"/>
        <v>#REF!</v>
      </c>
      <c r="G118" s="26">
        <f>-852745800.49-G121-G124</f>
        <v>-802306794.30999994</v>
      </c>
      <c r="H118" s="25" t="e">
        <f>'RETA aruanne'!#REF!+'RETA aruanne'!#REF!+'RETA aruanne'!#REF!+'RETA aruanne'!#REF!+'RETA aruanne'!#REF!-'RETA aruanne'!#REF!</f>
        <v>#REF!</v>
      </c>
      <c r="I118" s="25" t="e">
        <f t="shared" si="19"/>
        <v>#REF!</v>
      </c>
      <c r="K118" s="26"/>
      <c r="O118" s="26"/>
    </row>
    <row r="119" spans="1:15" hidden="1" x14ac:dyDescent="0.35">
      <c r="A119" t="s">
        <v>901</v>
      </c>
      <c r="B119" t="s">
        <v>50</v>
      </c>
      <c r="C119" s="26">
        <f>-2957-673939.56-18653.68</f>
        <v>-695550.24000000011</v>
      </c>
      <c r="D119" s="25"/>
      <c r="E119" s="25">
        <f t="shared" si="22"/>
        <v>-695550.24000000011</v>
      </c>
      <c r="G119" s="26">
        <f>-227730.07</f>
        <v>-227730.07</v>
      </c>
      <c r="H119" s="25"/>
      <c r="I119" s="25">
        <f t="shared" si="19"/>
        <v>-227730.07</v>
      </c>
      <c r="K119" s="26"/>
      <c r="O119" s="26"/>
    </row>
    <row r="120" spans="1:15" hidden="1" x14ac:dyDescent="0.35">
      <c r="A120" t="s">
        <v>901</v>
      </c>
      <c r="B120" t="s">
        <v>42</v>
      </c>
      <c r="C120" s="26"/>
      <c r="D120" s="25" t="e">
        <f>'RETA aruanne'!#REF!</f>
        <v>#REF!</v>
      </c>
      <c r="E120" s="25" t="e">
        <f t="shared" si="22"/>
        <v>#REF!</v>
      </c>
      <c r="G120" s="26">
        <v>-21764.81</v>
      </c>
      <c r="H120" s="25" t="e">
        <f>'RETA aruanne'!#REF!</f>
        <v>#REF!</v>
      </c>
      <c r="I120" s="25" t="e">
        <f t="shared" si="19"/>
        <v>#REF!</v>
      </c>
      <c r="K120" s="26"/>
      <c r="O120" s="26"/>
    </row>
    <row r="121" spans="1:15" hidden="1" x14ac:dyDescent="0.35">
      <c r="A121" t="s">
        <v>901</v>
      </c>
      <c r="B121" s="28" t="s">
        <v>657</v>
      </c>
      <c r="C121" s="26">
        <v>-17604971.469999999</v>
      </c>
      <c r="D121" s="25" t="e">
        <f>'RETA aruanne'!#REF!</f>
        <v>#REF!</v>
      </c>
      <c r="E121" s="25" t="e">
        <f t="shared" si="22"/>
        <v>#REF!</v>
      </c>
      <c r="F121" s="29"/>
      <c r="G121" s="26">
        <v>-17682610.469999999</v>
      </c>
      <c r="H121" s="25" t="e">
        <f>'RETA aruanne'!#REF!</f>
        <v>#REF!</v>
      </c>
      <c r="I121" s="25" t="e">
        <f t="shared" si="19"/>
        <v>#REF!</v>
      </c>
      <c r="K121" s="26"/>
      <c r="O121" s="26"/>
    </row>
    <row r="122" spans="1:15" hidden="1" x14ac:dyDescent="0.35">
      <c r="A122" t="s">
        <v>901</v>
      </c>
      <c r="B122" s="28" t="s">
        <v>25</v>
      </c>
      <c r="C122" s="26">
        <f>-134815853.98+3182425.59-8553949.51</f>
        <v>-140187377.89999998</v>
      </c>
      <c r="D122" s="25" t="e">
        <f>'RETA aruanne'!#REF!-'RETA aruanne'!#REF!</f>
        <v>#REF!</v>
      </c>
      <c r="E122" s="25" t="e">
        <f t="shared" si="22"/>
        <v>#REF!</v>
      </c>
      <c r="F122" s="29"/>
      <c r="G122" s="26">
        <f>-156178396.94+99236.95-8603558.1</f>
        <v>-164682718.09</v>
      </c>
      <c r="H122" s="25" t="e">
        <f>'RETA aruanne'!#REF!-'RETA aruanne'!#REF!</f>
        <v>#REF!</v>
      </c>
      <c r="I122" s="25" t="e">
        <f t="shared" si="19"/>
        <v>#REF!</v>
      </c>
      <c r="K122" s="26"/>
      <c r="O122" s="26"/>
    </row>
    <row r="123" spans="1:15" hidden="1" x14ac:dyDescent="0.35">
      <c r="A123" t="s">
        <v>901</v>
      </c>
      <c r="B123" t="s">
        <v>51</v>
      </c>
      <c r="C123" s="26">
        <f>12098900-3182425.59</f>
        <v>8916474.4100000001</v>
      </c>
      <c r="D123" s="25">
        <v>0</v>
      </c>
      <c r="E123" s="25">
        <f t="shared" si="22"/>
        <v>8916474.4100000001</v>
      </c>
      <c r="G123" s="26">
        <f>5499500+518335.81-12959.62-2944</f>
        <v>6001932.1899999995</v>
      </c>
      <c r="H123" s="25">
        <v>0</v>
      </c>
      <c r="I123" s="25">
        <f t="shared" si="19"/>
        <v>6001932.1899999995</v>
      </c>
      <c r="K123" s="26"/>
      <c r="O123" s="26"/>
    </row>
    <row r="124" spans="1:15" hidden="1" x14ac:dyDescent="0.35">
      <c r="A124" t="s">
        <v>901</v>
      </c>
      <c r="B124" t="s">
        <v>794</v>
      </c>
      <c r="C124" s="26">
        <v>-29691754.550000001</v>
      </c>
      <c r="D124" s="25" t="e">
        <f>'RETA aruanne'!#REF!</f>
        <v>#REF!</v>
      </c>
      <c r="E124" s="25" t="e">
        <f t="shared" si="22"/>
        <v>#REF!</v>
      </c>
      <c r="G124" s="26">
        <v>-32756395.710000001</v>
      </c>
      <c r="H124" s="25" t="e">
        <f>'RETA aruanne'!#REF!</f>
        <v>#REF!</v>
      </c>
      <c r="I124" s="25" t="e">
        <f t="shared" si="19"/>
        <v>#REF!</v>
      </c>
      <c r="K124" s="26"/>
      <c r="O124" s="26"/>
    </row>
    <row r="125" spans="1:15" hidden="1" x14ac:dyDescent="0.35">
      <c r="A125" t="s">
        <v>901</v>
      </c>
      <c r="B125" s="28" t="s">
        <v>60</v>
      </c>
      <c r="C125" s="26">
        <v>-49000000</v>
      </c>
      <c r="D125" s="25" t="e">
        <f>'RETA aruanne'!#REF!</f>
        <v>#REF!</v>
      </c>
      <c r="E125" s="25" t="e">
        <f t="shared" si="22"/>
        <v>#REF!</v>
      </c>
      <c r="F125" s="29" t="s">
        <v>992</v>
      </c>
      <c r="G125" s="26">
        <f>-7000000</f>
        <v>-7000000</v>
      </c>
      <c r="H125" s="25" t="e">
        <f>'RETA aruanne'!#REF!</f>
        <v>#REF!</v>
      </c>
      <c r="I125" s="25" t="e">
        <f t="shared" si="19"/>
        <v>#REF!</v>
      </c>
      <c r="K125" s="26"/>
      <c r="O125" s="26"/>
    </row>
    <row r="126" spans="1:15" hidden="1" x14ac:dyDescent="0.35">
      <c r="A126" t="s">
        <v>901</v>
      </c>
      <c r="B126" s="28" t="s">
        <v>61</v>
      </c>
      <c r="C126" s="26">
        <v>-800000</v>
      </c>
      <c r="D126" s="25" t="e">
        <f>'RETA aruanne'!#REF!</f>
        <v>#REF!</v>
      </c>
      <c r="E126" s="25" t="e">
        <f t="shared" si="22"/>
        <v>#REF!</v>
      </c>
      <c r="F126" s="29"/>
      <c r="G126" s="26">
        <v>-12130000</v>
      </c>
      <c r="H126" s="25" t="e">
        <f>'RETA aruanne'!#REF!</f>
        <v>#REF!</v>
      </c>
      <c r="I126" s="25" t="e">
        <f t="shared" si="19"/>
        <v>#REF!</v>
      </c>
      <c r="K126" s="26"/>
      <c r="O126" s="26"/>
    </row>
    <row r="127" spans="1:15" hidden="1" x14ac:dyDescent="0.35">
      <c r="A127" t="s">
        <v>901</v>
      </c>
      <c r="B127" s="28" t="s">
        <v>991</v>
      </c>
      <c r="C127" s="26"/>
      <c r="D127" s="25"/>
      <c r="E127" s="25">
        <f t="shared" si="22"/>
        <v>0</v>
      </c>
      <c r="F127" s="29" t="s">
        <v>992</v>
      </c>
      <c r="G127" s="26">
        <v>270183.62</v>
      </c>
      <c r="H127" s="25"/>
      <c r="I127" s="25">
        <f t="shared" si="19"/>
        <v>270183.62</v>
      </c>
      <c r="K127" s="26"/>
      <c r="O127" s="26"/>
    </row>
    <row r="128" spans="1:15" hidden="1" x14ac:dyDescent="0.35">
      <c r="A128" t="s">
        <v>901</v>
      </c>
      <c r="B128" s="28" t="s">
        <v>56</v>
      </c>
      <c r="C128" s="26"/>
      <c r="D128" s="25"/>
      <c r="E128" s="25">
        <f t="shared" si="22"/>
        <v>0</v>
      </c>
      <c r="F128" s="29"/>
      <c r="G128" s="26">
        <v>0</v>
      </c>
      <c r="H128" s="25"/>
      <c r="I128" s="25">
        <f t="shared" si="19"/>
        <v>0</v>
      </c>
      <c r="K128" s="26"/>
      <c r="O128" s="26"/>
    </row>
    <row r="129" spans="1:15" hidden="1" x14ac:dyDescent="0.35">
      <c r="A129" t="s">
        <v>901</v>
      </c>
      <c r="B129" s="28" t="s">
        <v>57</v>
      </c>
      <c r="C129" s="26"/>
      <c r="D129" s="25"/>
      <c r="E129" s="25">
        <f t="shared" si="22"/>
        <v>0</v>
      </c>
      <c r="F129" s="29"/>
      <c r="G129" s="26">
        <v>0</v>
      </c>
      <c r="H129" s="25"/>
      <c r="I129" s="25">
        <f t="shared" si="19"/>
        <v>0</v>
      </c>
      <c r="K129" s="26"/>
      <c r="O129" s="26"/>
    </row>
    <row r="130" spans="1:15" x14ac:dyDescent="0.35">
      <c r="A130" s="39" t="s">
        <v>58</v>
      </c>
      <c r="B130" s="39" t="s">
        <v>4</v>
      </c>
      <c r="C130" s="39">
        <v>47759483.920000002</v>
      </c>
      <c r="D130" s="39">
        <f>'RETA aruanne'!E72</f>
        <v>47759483.920000002</v>
      </c>
      <c r="E130" s="39">
        <f t="shared" si="22"/>
        <v>0</v>
      </c>
      <c r="F130" s="39"/>
      <c r="G130" s="39">
        <v>45351772.369999997</v>
      </c>
      <c r="H130" s="39">
        <f>'RETA aruanne'!F72</f>
        <v>45351772.369999997</v>
      </c>
      <c r="I130" s="39">
        <f t="shared" si="19"/>
        <v>0</v>
      </c>
      <c r="J130" s="3"/>
      <c r="K130" s="26"/>
      <c r="O130" s="26"/>
    </row>
    <row r="131" spans="1:15" x14ac:dyDescent="0.35">
      <c r="A131" s="39" t="s">
        <v>58</v>
      </c>
      <c r="B131" s="39" t="s">
        <v>6</v>
      </c>
      <c r="C131" s="39">
        <v>35671</v>
      </c>
      <c r="D131" s="39">
        <f>'RETA aruanne'!E6</f>
        <v>35671</v>
      </c>
      <c r="E131" s="39">
        <f t="shared" si="22"/>
        <v>0</v>
      </c>
      <c r="F131" s="39"/>
      <c r="G131" s="39">
        <v>8860</v>
      </c>
      <c r="H131" s="39">
        <f>'RETA aruanne'!F6</f>
        <v>8860</v>
      </c>
      <c r="I131" s="39">
        <f t="shared" si="19"/>
        <v>0</v>
      </c>
      <c r="J131" s="3"/>
      <c r="K131" s="26"/>
      <c r="O131" s="26"/>
    </row>
    <row r="132" spans="1:15" x14ac:dyDescent="0.35">
      <c r="A132" s="39" t="s">
        <v>58</v>
      </c>
      <c r="B132" s="39" t="s">
        <v>7</v>
      </c>
      <c r="C132" s="39">
        <v>3272067.79</v>
      </c>
      <c r="D132" s="39">
        <f>'RETA aruanne'!E7+'RETA aruanne'!E78</f>
        <v>3288299.35</v>
      </c>
      <c r="E132" s="39">
        <f t="shared" si="22"/>
        <v>-16231.560000000056</v>
      </c>
      <c r="F132" s="39"/>
      <c r="G132" s="39">
        <v>3254681.14</v>
      </c>
      <c r="H132" s="39">
        <f>'RETA aruanne'!F7+'RETA aruanne'!F78</f>
        <v>3268014.0100000002</v>
      </c>
      <c r="I132" s="39">
        <f t="shared" si="19"/>
        <v>-13332.870000000112</v>
      </c>
      <c r="J132" s="39" t="s">
        <v>1189</v>
      </c>
      <c r="K132" s="26"/>
      <c r="O132" s="26"/>
    </row>
    <row r="133" spans="1:15" x14ac:dyDescent="0.35">
      <c r="A133" s="39" t="s">
        <v>58</v>
      </c>
      <c r="B133" s="39" t="s">
        <v>5</v>
      </c>
      <c r="C133" s="39">
        <v>15350277.49</v>
      </c>
      <c r="D133" s="39">
        <f>'RETA aruanne'!E8+'RETA aruanne'!E74+'RETA aruanne'!E75+'RETA aruanne'!E76</f>
        <v>15350277.489999996</v>
      </c>
      <c r="E133" s="39">
        <f t="shared" si="22"/>
        <v>0</v>
      </c>
      <c r="F133" s="39"/>
      <c r="G133" s="39">
        <v>12376732.050000001</v>
      </c>
      <c r="H133" s="39">
        <f>'RETA aruanne'!F8+'RETA aruanne'!F74+'RETA aruanne'!F75+'RETA aruanne'!F76</f>
        <v>12376732.050000001</v>
      </c>
      <c r="I133" s="39">
        <f t="shared" si="19"/>
        <v>0</v>
      </c>
      <c r="J133" s="3"/>
      <c r="K133" s="26"/>
      <c r="O133" s="26"/>
    </row>
    <row r="134" spans="1:15" x14ac:dyDescent="0.35">
      <c r="A134" s="39" t="s">
        <v>58</v>
      </c>
      <c r="B134" s="39" t="s">
        <v>894</v>
      </c>
      <c r="C134" s="39"/>
      <c r="D134" s="39"/>
      <c r="E134" s="39">
        <f t="shared" si="22"/>
        <v>0</v>
      </c>
      <c r="F134" s="39"/>
      <c r="G134" s="39">
        <v>0</v>
      </c>
      <c r="H134" s="39"/>
      <c r="I134" s="39">
        <f t="shared" si="19"/>
        <v>0</v>
      </c>
      <c r="J134" s="3"/>
      <c r="K134" s="26"/>
      <c r="O134" s="26"/>
    </row>
    <row r="135" spans="1:15" x14ac:dyDescent="0.35">
      <c r="A135" s="39" t="s">
        <v>58</v>
      </c>
      <c r="B135" s="39" t="s">
        <v>720</v>
      </c>
      <c r="C135" s="39">
        <v>10526.84</v>
      </c>
      <c r="D135" s="39">
        <f>'RETA aruanne'!E9</f>
        <v>10526.84</v>
      </c>
      <c r="E135" s="39">
        <f t="shared" si="22"/>
        <v>0</v>
      </c>
      <c r="F135" s="39"/>
      <c r="G135" s="39">
        <v>4851.47</v>
      </c>
      <c r="H135" s="39">
        <f>'RETA aruanne'!F9</f>
        <v>4851.47</v>
      </c>
      <c r="I135" s="39">
        <f t="shared" si="19"/>
        <v>0</v>
      </c>
      <c r="J135" s="3"/>
      <c r="K135" s="26"/>
      <c r="O135" s="26"/>
    </row>
    <row r="136" spans="1:15" x14ac:dyDescent="0.35">
      <c r="A136" s="39" t="s">
        <v>58</v>
      </c>
      <c r="B136" s="39" t="s">
        <v>49</v>
      </c>
      <c r="C136" s="39">
        <f>16231.56</f>
        <v>16231.56</v>
      </c>
      <c r="D136" s="39"/>
      <c r="E136" s="39">
        <f t="shared" ref="E136:E166" si="23">C136-D136</f>
        <v>16231.56</v>
      </c>
      <c r="F136" s="39"/>
      <c r="G136" s="39">
        <f>13332.87</f>
        <v>13332.87</v>
      </c>
      <c r="H136" s="39"/>
      <c r="I136" s="39">
        <f t="shared" si="19"/>
        <v>13332.87</v>
      </c>
      <c r="J136" s="39" t="s">
        <v>1189</v>
      </c>
      <c r="K136" s="26"/>
      <c r="O136" s="26"/>
    </row>
    <row r="137" spans="1:15" x14ac:dyDescent="0.35">
      <c r="A137" s="39" t="s">
        <v>58</v>
      </c>
      <c r="B137" s="39" t="s">
        <v>41</v>
      </c>
      <c r="C137" s="39">
        <v>481.21</v>
      </c>
      <c r="D137" s="39">
        <f>'RETA aruanne'!E80+'RETA aruanne'!E10</f>
        <v>-2036459.1500000001</v>
      </c>
      <c r="E137" s="39">
        <f t="shared" si="23"/>
        <v>2036940.36</v>
      </c>
      <c r="F137" s="39"/>
      <c r="G137" s="39">
        <v>1210.99</v>
      </c>
      <c r="H137" s="39">
        <f>'RETA aruanne'!F80+'RETA aruanne'!F10</f>
        <v>292759.86</v>
      </c>
      <c r="I137" s="39">
        <f t="shared" si="19"/>
        <v>-291548.87</v>
      </c>
      <c r="J137" s="39" t="s">
        <v>1193</v>
      </c>
      <c r="K137" s="26"/>
      <c r="O137" s="26"/>
    </row>
    <row r="138" spans="1:15" x14ac:dyDescent="0.35">
      <c r="A138" s="39" t="s">
        <v>58</v>
      </c>
      <c r="B138" s="39" t="s">
        <v>796</v>
      </c>
      <c r="C138" s="39">
        <f>-363349373.76-C141-C144</f>
        <v>-361547331.30000001</v>
      </c>
      <c r="D138" s="39">
        <f>'RETA aruanne'!E11+'RETA aruanne'!E79+'RETA aruanne'!E73+'RETA aruanne'!E77-'RETA aruanne'!E63</f>
        <v>-361563562.8609761</v>
      </c>
      <c r="E138" s="39">
        <f t="shared" si="23"/>
        <v>16231.560976088047</v>
      </c>
      <c r="F138" s="39"/>
      <c r="G138" s="39">
        <f>-377564828.66-G141-G144</f>
        <v>-375951974.50999999</v>
      </c>
      <c r="H138" s="39">
        <f>'RETA aruanne'!F11+'RETA aruanne'!F79+'RETA aruanne'!F73+'RETA aruanne'!F77-'RETA aruanne'!F63</f>
        <v>-375965307.24999994</v>
      </c>
      <c r="I138" s="39">
        <f t="shared" si="19"/>
        <v>13332.739999949932</v>
      </c>
      <c r="J138" s="39" t="s">
        <v>1189</v>
      </c>
      <c r="K138" s="26"/>
      <c r="O138" s="26"/>
    </row>
    <row r="139" spans="1:15" x14ac:dyDescent="0.35">
      <c r="A139" s="39" t="s">
        <v>58</v>
      </c>
      <c r="B139" s="39" t="s">
        <v>50</v>
      </c>
      <c r="C139" s="39">
        <f>-1814.51-14417.05</f>
        <v>-16231.56</v>
      </c>
      <c r="D139" s="39"/>
      <c r="E139" s="39">
        <f t="shared" si="23"/>
        <v>-16231.56</v>
      </c>
      <c r="F139" s="39"/>
      <c r="G139" s="39">
        <v>-13332.87</v>
      </c>
      <c r="H139" s="39"/>
      <c r="I139" s="39">
        <f t="shared" si="19"/>
        <v>-13332.87</v>
      </c>
      <c r="J139" s="39" t="s">
        <v>1189</v>
      </c>
      <c r="K139" s="26"/>
      <c r="O139" s="26"/>
    </row>
    <row r="140" spans="1:15" x14ac:dyDescent="0.35">
      <c r="A140" s="39" t="s">
        <v>58</v>
      </c>
      <c r="B140" s="39" t="s">
        <v>42</v>
      </c>
      <c r="C140" s="39">
        <v>-2036940.36</v>
      </c>
      <c r="D140" s="39"/>
      <c r="E140" s="39">
        <f t="shared" si="23"/>
        <v>-2036940.36</v>
      </c>
      <c r="F140" s="39"/>
      <c r="G140" s="39">
        <v>291548.87</v>
      </c>
      <c r="H140" s="39"/>
      <c r="I140" s="39">
        <f t="shared" si="19"/>
        <v>291548.87</v>
      </c>
      <c r="J140" s="39" t="s">
        <v>1193</v>
      </c>
      <c r="K140" s="26"/>
      <c r="O140" s="26"/>
    </row>
    <row r="141" spans="1:15" x14ac:dyDescent="0.35">
      <c r="A141" s="39" t="s">
        <v>58</v>
      </c>
      <c r="B141" s="39" t="s">
        <v>657</v>
      </c>
      <c r="C141" s="39">
        <v>-1671275.28</v>
      </c>
      <c r="D141" s="39">
        <f>'RETA aruanne'!E63</f>
        <v>-1671275.2799999998</v>
      </c>
      <c r="E141" s="39">
        <f t="shared" si="23"/>
        <v>0</v>
      </c>
      <c r="F141" s="39"/>
      <c r="G141" s="39">
        <v>-1514634.23</v>
      </c>
      <c r="H141" s="39">
        <f>'RETA aruanne'!F63</f>
        <v>-1514634.23</v>
      </c>
      <c r="I141" s="39">
        <f t="shared" si="19"/>
        <v>0</v>
      </c>
      <c r="J141" s="3"/>
      <c r="K141" s="26"/>
      <c r="O141" s="26"/>
    </row>
    <row r="142" spans="1:15" x14ac:dyDescent="0.35">
      <c r="A142" s="39" t="s">
        <v>58</v>
      </c>
      <c r="B142" s="39" t="s">
        <v>25</v>
      </c>
      <c r="C142" s="39">
        <f>-381127.32-400373.6</f>
        <v>-781500.91999999993</v>
      </c>
      <c r="D142" s="39">
        <f>'RETA aruanne'!E64-'RETA aruanne'!E66</f>
        <v>-781500.92000000016</v>
      </c>
      <c r="E142" s="39">
        <f t="shared" si="23"/>
        <v>0</v>
      </c>
      <c r="F142" s="39"/>
      <c r="G142" s="39">
        <f>-137504.44-337617.19</f>
        <v>-475121.63</v>
      </c>
      <c r="H142" s="39">
        <f>'RETA aruanne'!F64-'RETA aruanne'!F66</f>
        <v>-475121.63000000006</v>
      </c>
      <c r="I142" s="39">
        <f t="shared" si="19"/>
        <v>0</v>
      </c>
      <c r="J142" s="3"/>
      <c r="K142" s="26"/>
      <c r="O142" s="26"/>
    </row>
    <row r="143" spans="1:15" x14ac:dyDescent="0.35">
      <c r="A143" s="39" t="s">
        <v>58</v>
      </c>
      <c r="B143" s="39" t="s">
        <v>51</v>
      </c>
      <c r="C143" s="39"/>
      <c r="D143" s="39">
        <v>0</v>
      </c>
      <c r="E143" s="39">
        <f t="shared" ref="E143:E144" si="24">C143-D143</f>
        <v>0</v>
      </c>
      <c r="F143" s="39"/>
      <c r="G143" s="39"/>
      <c r="H143" s="39">
        <v>0</v>
      </c>
      <c r="I143" s="39">
        <f t="shared" ref="I143:I144" si="25">G143-H143</f>
        <v>0</v>
      </c>
      <c r="J143" s="3"/>
      <c r="K143" s="26"/>
      <c r="O143" s="26"/>
    </row>
    <row r="144" spans="1:15" x14ac:dyDescent="0.35">
      <c r="A144" s="39" t="s">
        <v>58</v>
      </c>
      <c r="B144" s="39" t="s">
        <v>794</v>
      </c>
      <c r="C144" s="39">
        <v>-130767.18</v>
      </c>
      <c r="D144" s="39">
        <f>'RETA aruanne'!E66</f>
        <v>-130767.18</v>
      </c>
      <c r="E144" s="39">
        <f t="shared" si="24"/>
        <v>0</v>
      </c>
      <c r="F144" s="39"/>
      <c r="G144" s="39">
        <v>-98219.92</v>
      </c>
      <c r="H144" s="39">
        <f>'RETA aruanne'!F66</f>
        <v>-98219.92</v>
      </c>
      <c r="I144" s="39">
        <f t="shared" si="25"/>
        <v>0</v>
      </c>
      <c r="J144" s="3"/>
      <c r="K144" s="26"/>
      <c r="O144" s="26"/>
    </row>
    <row r="145" spans="1:15" x14ac:dyDescent="0.35">
      <c r="A145" s="39" t="s">
        <v>58</v>
      </c>
      <c r="B145" s="39" t="s">
        <v>60</v>
      </c>
      <c r="C145" s="39">
        <v>-26539.43</v>
      </c>
      <c r="D145" s="39">
        <f>'RETA aruanne'!E69</f>
        <v>-26539.43</v>
      </c>
      <c r="E145" s="39">
        <f t="shared" si="23"/>
        <v>0</v>
      </c>
      <c r="F145" s="39"/>
      <c r="G145" s="39">
        <v>-447376.4</v>
      </c>
      <c r="H145" s="39">
        <f>'RETA aruanne'!F69</f>
        <v>-447376.4</v>
      </c>
      <c r="I145" s="39">
        <f t="shared" si="19"/>
        <v>0</v>
      </c>
      <c r="J145" s="3"/>
      <c r="K145" s="26"/>
      <c r="O145" s="26"/>
    </row>
    <row r="146" spans="1:15" hidden="1" x14ac:dyDescent="0.35">
      <c r="A146" t="s">
        <v>59</v>
      </c>
      <c r="B146" t="s">
        <v>899</v>
      </c>
      <c r="C146" s="26">
        <v>327793916.05000001</v>
      </c>
      <c r="D146" s="25" t="e">
        <f>'RETA aruanne'!#REF!</f>
        <v>#REF!</v>
      </c>
      <c r="E146" s="25" t="e">
        <f t="shared" ref="E146" si="26">C146-D146</f>
        <v>#REF!</v>
      </c>
      <c r="G146" s="26">
        <f>311107282.89-554361.96</f>
        <v>310552920.93000001</v>
      </c>
      <c r="H146" s="25" t="e">
        <f>'RETA aruanne'!#REF!</f>
        <v>#REF!</v>
      </c>
      <c r="I146" s="25" t="e">
        <f t="shared" ref="I146" si="27">G146-H146</f>
        <v>#REF!</v>
      </c>
      <c r="K146" s="26"/>
      <c r="M146" s="26"/>
      <c r="N146" s="26"/>
      <c r="O146" s="26"/>
    </row>
    <row r="147" spans="1:15" hidden="1" x14ac:dyDescent="0.35">
      <c r="A147" t="s">
        <v>59</v>
      </c>
      <c r="B147" t="s">
        <v>6</v>
      </c>
      <c r="C147" s="26">
        <v>5889774.8099999996</v>
      </c>
      <c r="D147" s="25" t="e">
        <f>'RETA aruanne'!#REF!</f>
        <v>#REF!</v>
      </c>
      <c r="E147" s="25" t="e">
        <f t="shared" si="23"/>
        <v>#REF!</v>
      </c>
      <c r="G147" s="26">
        <v>5521777.6399999997</v>
      </c>
      <c r="H147" s="25" t="e">
        <f>'RETA aruanne'!#REF!</f>
        <v>#REF!</v>
      </c>
      <c r="I147" s="25" t="e">
        <f t="shared" si="19"/>
        <v>#REF!</v>
      </c>
      <c r="K147" s="26"/>
      <c r="M147" s="26"/>
      <c r="N147" s="26"/>
      <c r="O147" s="26"/>
    </row>
    <row r="148" spans="1:15" hidden="1" x14ac:dyDescent="0.35">
      <c r="A148" t="s">
        <v>59</v>
      </c>
      <c r="B148" t="s">
        <v>7</v>
      </c>
      <c r="C148" s="26">
        <v>10834541.460000001</v>
      </c>
      <c r="D148" s="25" t="e">
        <f>'RETA aruanne'!#REF!+'RETA aruanne'!#REF!</f>
        <v>#REF!</v>
      </c>
      <c r="E148" s="25" t="e">
        <f t="shared" ref="E148:E152" si="28">C148-D148</f>
        <v>#REF!</v>
      </c>
      <c r="G148" s="26">
        <f>13260278.14</f>
        <v>13260278.140000001</v>
      </c>
      <c r="H148" s="25" t="e">
        <f>'RETA aruanne'!#REF!+'RETA aruanne'!#REF!</f>
        <v>#REF!</v>
      </c>
      <c r="I148" s="25" t="e">
        <f t="shared" ref="I148:I152" si="29">G148-H148</f>
        <v>#REF!</v>
      </c>
      <c r="K148" s="26"/>
      <c r="M148" s="26"/>
      <c r="N148" s="26"/>
      <c r="O148" s="26"/>
    </row>
    <row r="149" spans="1:15" hidden="1" x14ac:dyDescent="0.35">
      <c r="A149" t="s">
        <v>59</v>
      </c>
      <c r="B149" t="s">
        <v>5</v>
      </c>
      <c r="C149" s="26">
        <v>122582196.23</v>
      </c>
      <c r="D149" s="25" t="e">
        <f>'RETA aruanne'!#REF!+'RETA aruanne'!#REF!+'RETA aruanne'!#REF!+'RETA aruanne'!#REF!</f>
        <v>#REF!</v>
      </c>
      <c r="E149" s="25" t="e">
        <f t="shared" si="28"/>
        <v>#REF!</v>
      </c>
      <c r="G149" s="26">
        <v>99077828.370000005</v>
      </c>
      <c r="H149" s="25" t="e">
        <f>'RETA aruanne'!#REF!+'RETA aruanne'!#REF!+'RETA aruanne'!#REF!+'RETA aruanne'!#REF!</f>
        <v>#REF!</v>
      </c>
      <c r="I149" s="25" t="e">
        <f t="shared" si="29"/>
        <v>#REF!</v>
      </c>
      <c r="K149" s="26"/>
      <c r="M149" s="26"/>
      <c r="N149" s="26"/>
      <c r="O149" s="26"/>
    </row>
    <row r="150" spans="1:15" hidden="1" x14ac:dyDescent="0.35">
      <c r="A150" t="s">
        <v>59</v>
      </c>
      <c r="B150" t="s">
        <v>799</v>
      </c>
      <c r="C150" s="26">
        <v>12970826.52</v>
      </c>
      <c r="D150" s="25" t="e">
        <f>'RETA aruanne'!#REF!+'RETA aruanne'!#REF!</f>
        <v>#REF!</v>
      </c>
      <c r="E150" s="25" t="e">
        <f t="shared" si="28"/>
        <v>#REF!</v>
      </c>
      <c r="G150" s="26">
        <v>45768.3</v>
      </c>
      <c r="H150" s="25" t="e">
        <f>'RETA aruanne'!#REF!</f>
        <v>#REF!</v>
      </c>
      <c r="I150" s="25" t="e">
        <f t="shared" si="29"/>
        <v>#REF!</v>
      </c>
      <c r="K150" s="26"/>
      <c r="M150" s="26"/>
      <c r="N150" s="26"/>
      <c r="O150" s="26"/>
    </row>
    <row r="151" spans="1:15" hidden="1" x14ac:dyDescent="0.35">
      <c r="A151" t="s">
        <v>59</v>
      </c>
      <c r="B151" t="s">
        <v>806</v>
      </c>
      <c r="C151" s="26">
        <v>102431.3</v>
      </c>
      <c r="D151" s="25" t="e">
        <f>'RETA aruanne'!#REF!</f>
        <v>#REF!</v>
      </c>
      <c r="E151" s="25" t="e">
        <f t="shared" si="28"/>
        <v>#REF!</v>
      </c>
      <c r="G151" s="26">
        <v>45122.63</v>
      </c>
      <c r="H151" s="25" t="e">
        <f>'RETA aruanne'!#REF!</f>
        <v>#REF!</v>
      </c>
      <c r="I151" s="25" t="e">
        <f t="shared" si="29"/>
        <v>#REF!</v>
      </c>
      <c r="K151" s="26"/>
      <c r="M151" s="26"/>
      <c r="N151" s="26"/>
      <c r="O151" s="26"/>
    </row>
    <row r="152" spans="1:15" hidden="1" x14ac:dyDescent="0.35">
      <c r="A152" t="s">
        <v>59</v>
      </c>
      <c r="B152" t="s">
        <v>720</v>
      </c>
      <c r="C152" s="26">
        <f>1844843.05+34051.45</f>
        <v>1878894.5</v>
      </c>
      <c r="D152" s="25" t="e">
        <f>'RETA aruanne'!#REF!</f>
        <v>#REF!</v>
      </c>
      <c r="E152" s="25" t="e">
        <f t="shared" si="28"/>
        <v>#REF!</v>
      </c>
      <c r="G152" s="26">
        <f>329881.61+8897.86</f>
        <v>338779.47</v>
      </c>
      <c r="H152" s="25" t="e">
        <f>'RETA aruanne'!#REF!</f>
        <v>#REF!</v>
      </c>
      <c r="I152" s="25" t="e">
        <f t="shared" si="29"/>
        <v>#REF!</v>
      </c>
      <c r="K152" s="26"/>
      <c r="M152" s="26"/>
      <c r="N152" s="26"/>
      <c r="O152" s="26"/>
    </row>
    <row r="153" spans="1:15" hidden="1" x14ac:dyDescent="0.35">
      <c r="A153" t="s">
        <v>59</v>
      </c>
      <c r="B153" t="s">
        <v>49</v>
      </c>
      <c r="C153" s="26">
        <v>16</v>
      </c>
      <c r="D153" s="25"/>
      <c r="E153" s="25">
        <f t="shared" si="23"/>
        <v>16</v>
      </c>
      <c r="G153" s="26">
        <v>911239.97</v>
      </c>
      <c r="H153" s="25"/>
      <c r="I153" s="25">
        <f t="shared" si="19"/>
        <v>911239.97</v>
      </c>
      <c r="K153" s="26"/>
      <c r="M153" s="26"/>
      <c r="N153" s="26"/>
      <c r="O153" s="26"/>
    </row>
    <row r="154" spans="1:15" hidden="1" x14ac:dyDescent="0.35">
      <c r="A154" t="s">
        <v>59</v>
      </c>
      <c r="B154" t="s">
        <v>41</v>
      </c>
      <c r="C154" s="26">
        <f>243350+11343725.95+1513007.43</f>
        <v>13100083.379999999</v>
      </c>
      <c r="D154" s="25" t="e">
        <f>'RETA aruanne'!#REF!</f>
        <v>#REF!</v>
      </c>
      <c r="E154" s="25" t="e">
        <f t="shared" si="23"/>
        <v>#REF!</v>
      </c>
      <c r="G154" s="26">
        <v>30558304.469999999</v>
      </c>
      <c r="H154" s="25" t="e">
        <f>'RETA aruanne'!#REF!</f>
        <v>#REF!</v>
      </c>
      <c r="I154" s="25" t="e">
        <f t="shared" si="19"/>
        <v>#REF!</v>
      </c>
      <c r="K154" s="26"/>
      <c r="M154" s="26"/>
      <c r="N154" s="26"/>
      <c r="O154" s="26"/>
    </row>
    <row r="155" spans="1:15" hidden="1" x14ac:dyDescent="0.35">
      <c r="A155" t="s">
        <v>59</v>
      </c>
      <c r="B155" t="s">
        <v>796</v>
      </c>
      <c r="C155" s="26">
        <f>-1217066902.58-C158-C161</f>
        <v>-1214356893.9099998</v>
      </c>
      <c r="D155" s="25" t="e">
        <f>'RETA aruanne'!#REF!+'RETA aruanne'!#REF!+'RETA aruanne'!#REF!+'RETA aruanne'!#REF!-'RETA aruanne'!#REF!+'RETA aruanne'!#REF!</f>
        <v>#REF!</v>
      </c>
      <c r="E155" s="25" t="e">
        <f t="shared" si="23"/>
        <v>#REF!</v>
      </c>
      <c r="G155" s="26">
        <f>-1187217718.49-G158-G161</f>
        <v>-1172771988.9000001</v>
      </c>
      <c r="H155" s="25" t="e">
        <f>'RETA aruanne'!#REF!+'RETA aruanne'!#REF!+'RETA aruanne'!#REF!+'RETA aruanne'!#REF!-'RETA aruanne'!#REF!+'RETA aruanne'!#REF!</f>
        <v>#REF!</v>
      </c>
      <c r="I155" s="25" t="e">
        <f t="shared" si="19"/>
        <v>#REF!</v>
      </c>
      <c r="K155" s="26"/>
      <c r="M155" s="26"/>
      <c r="N155" s="26"/>
      <c r="O155" s="26"/>
    </row>
    <row r="156" spans="1:15" hidden="1" x14ac:dyDescent="0.35">
      <c r="A156" t="s">
        <v>59</v>
      </c>
      <c r="B156" t="s">
        <v>50</v>
      </c>
      <c r="C156" s="26">
        <v>-16</v>
      </c>
      <c r="D156" s="25"/>
      <c r="E156" s="25">
        <f t="shared" si="23"/>
        <v>-16</v>
      </c>
      <c r="G156" s="26">
        <v>-911239.97</v>
      </c>
      <c r="H156" s="25"/>
      <c r="I156" s="25">
        <f t="shared" si="19"/>
        <v>-911239.97</v>
      </c>
      <c r="K156" s="26"/>
      <c r="M156" s="26"/>
      <c r="N156" s="26"/>
      <c r="O156" s="26"/>
    </row>
    <row r="157" spans="1:15" hidden="1" x14ac:dyDescent="0.35">
      <c r="A157" t="s">
        <v>59</v>
      </c>
      <c r="B157" t="s">
        <v>42</v>
      </c>
      <c r="C157" s="26"/>
      <c r="D157" s="25" t="e">
        <f>'RETA aruanne'!#REF!</f>
        <v>#REF!</v>
      </c>
      <c r="E157" s="25" t="e">
        <f t="shared" si="23"/>
        <v>#REF!</v>
      </c>
      <c r="H157" s="25" t="e">
        <f>'RETA aruanne'!#REF!</f>
        <v>#REF!</v>
      </c>
      <c r="I157" s="25" t="e">
        <f t="shared" si="19"/>
        <v>#REF!</v>
      </c>
      <c r="K157" s="26"/>
      <c r="M157" s="26"/>
      <c r="N157" s="26"/>
      <c r="O157" s="26"/>
    </row>
    <row r="158" spans="1:15" hidden="1" x14ac:dyDescent="0.35">
      <c r="A158" t="s">
        <v>59</v>
      </c>
      <c r="B158" s="28" t="s">
        <v>657</v>
      </c>
      <c r="C158" s="26">
        <v>-2202659.19</v>
      </c>
      <c r="D158" s="25" t="e">
        <f>'RETA aruanne'!#REF!</f>
        <v>#REF!</v>
      </c>
      <c r="E158" s="25" t="e">
        <f t="shared" si="23"/>
        <v>#REF!</v>
      </c>
      <c r="F158" s="29"/>
      <c r="G158" s="26">
        <v>-9363777.2599999998</v>
      </c>
      <c r="H158" s="25" t="e">
        <f>'RETA aruanne'!#REF!</f>
        <v>#REF!</v>
      </c>
      <c r="I158" s="25" t="e">
        <f t="shared" si="19"/>
        <v>#REF!</v>
      </c>
      <c r="K158" s="26"/>
      <c r="M158" s="26"/>
      <c r="N158" s="26"/>
      <c r="O158" s="26"/>
    </row>
    <row r="159" spans="1:15" hidden="1" x14ac:dyDescent="0.35">
      <c r="A159" t="s">
        <v>59</v>
      </c>
      <c r="B159" s="28" t="s">
        <v>25</v>
      </c>
      <c r="C159" s="26">
        <f>-1664259.29-533013+87450</f>
        <v>-2109822.29</v>
      </c>
      <c r="D159" s="25" t="e">
        <f>'RETA aruanne'!#REF!-'RETA aruanne'!#REF!</f>
        <v>#REF!</v>
      </c>
      <c r="E159" s="25" t="e">
        <f t="shared" si="23"/>
        <v>#REF!</v>
      </c>
      <c r="F159" s="29"/>
      <c r="G159" s="26">
        <f>-11002427.9-12092454.4</f>
        <v>-23094882.300000001</v>
      </c>
      <c r="H159" s="25" t="e">
        <f>'RETA aruanne'!#REF!-'RETA aruanne'!#REF!</f>
        <v>#REF!</v>
      </c>
      <c r="I159" s="25" t="e">
        <f t="shared" si="19"/>
        <v>#REF!</v>
      </c>
      <c r="K159" s="26"/>
      <c r="M159" s="26"/>
      <c r="O159" s="26"/>
    </row>
    <row r="160" spans="1:15" hidden="1" x14ac:dyDescent="0.35">
      <c r="A160" t="s">
        <v>59</v>
      </c>
      <c r="B160" t="s">
        <v>51</v>
      </c>
      <c r="C160" s="26"/>
      <c r="D160" s="25"/>
      <c r="E160" s="25">
        <f t="shared" si="23"/>
        <v>0</v>
      </c>
      <c r="H160" s="25"/>
      <c r="I160" s="25">
        <f t="shared" si="19"/>
        <v>0</v>
      </c>
      <c r="K160" s="26"/>
      <c r="M160" s="26"/>
      <c r="O160" s="26"/>
    </row>
    <row r="161" spans="1:15" hidden="1" x14ac:dyDescent="0.35">
      <c r="A161" t="s">
        <v>59</v>
      </c>
      <c r="B161" s="28" t="s">
        <v>794</v>
      </c>
      <c r="C161" s="26">
        <v>-507349.48</v>
      </c>
      <c r="D161" s="25" t="e">
        <f>'RETA aruanne'!#REF!</f>
        <v>#REF!</v>
      </c>
      <c r="E161" s="25" t="e">
        <f t="shared" si="23"/>
        <v>#REF!</v>
      </c>
      <c r="G161" s="26">
        <v>-5081952.33</v>
      </c>
      <c r="H161" s="25" t="e">
        <f>'RETA aruanne'!#REF!</f>
        <v>#REF!</v>
      </c>
      <c r="I161" s="25" t="e">
        <f t="shared" si="19"/>
        <v>#REF!</v>
      </c>
      <c r="K161" s="26"/>
      <c r="M161" s="26"/>
      <c r="O161" s="26"/>
    </row>
    <row r="162" spans="1:15" hidden="1" x14ac:dyDescent="0.35">
      <c r="A162" t="s">
        <v>59</v>
      </c>
      <c r="B162" s="28" t="s">
        <v>57</v>
      </c>
      <c r="C162" s="26">
        <f>2001303.54+1528355.94</f>
        <v>3529659.48</v>
      </c>
      <c r="D162" s="25" t="e">
        <f>'RETA aruanne'!#REF!</f>
        <v>#REF!</v>
      </c>
      <c r="E162" s="25" t="e">
        <f t="shared" si="23"/>
        <v>#REF!</v>
      </c>
      <c r="F162" s="29"/>
      <c r="G162" s="26">
        <v>99589.48</v>
      </c>
      <c r="H162" s="26" t="e">
        <f>'RETA aruanne'!#REF!</f>
        <v>#REF!</v>
      </c>
      <c r="I162" s="25" t="e">
        <f t="shared" si="19"/>
        <v>#REF!</v>
      </c>
      <c r="K162" s="26"/>
      <c r="O162" s="26"/>
    </row>
    <row r="163" spans="1:15" hidden="1" x14ac:dyDescent="0.35">
      <c r="A163" t="s">
        <v>59</v>
      </c>
      <c r="B163" s="28" t="s">
        <v>60</v>
      </c>
      <c r="C163" s="26">
        <v>-11000000</v>
      </c>
      <c r="D163" s="142" t="e">
        <f>'RETA aruanne'!#REF!</f>
        <v>#REF!</v>
      </c>
      <c r="E163" s="25" t="e">
        <f t="shared" si="23"/>
        <v>#REF!</v>
      </c>
      <c r="F163" s="29"/>
      <c r="G163" s="26">
        <v>-55000000</v>
      </c>
      <c r="H163" s="25" t="e">
        <f>'RETA aruanne'!#REF!</f>
        <v>#REF!</v>
      </c>
      <c r="I163" s="25" t="e">
        <f t="shared" si="19"/>
        <v>#REF!</v>
      </c>
      <c r="K163" s="26"/>
      <c r="O163" s="26"/>
    </row>
    <row r="164" spans="1:15" hidden="1" x14ac:dyDescent="0.35">
      <c r="A164" t="s">
        <v>59</v>
      </c>
      <c r="B164" s="28" t="s">
        <v>776</v>
      </c>
      <c r="C164" s="26">
        <v>0</v>
      </c>
      <c r="D164" s="142">
        <v>0</v>
      </c>
      <c r="E164" s="25">
        <f t="shared" si="23"/>
        <v>0</v>
      </c>
      <c r="F164" s="29"/>
      <c r="H164" s="25">
        <v>0</v>
      </c>
      <c r="I164" s="25">
        <f t="shared" si="19"/>
        <v>0</v>
      </c>
      <c r="K164" s="26"/>
      <c r="O164" s="26"/>
    </row>
    <row r="165" spans="1:15" hidden="1" x14ac:dyDescent="0.35">
      <c r="A165" t="s">
        <v>59</v>
      </c>
      <c r="B165" s="28" t="s">
        <v>900</v>
      </c>
      <c r="C165" s="26">
        <v>-67800000</v>
      </c>
      <c r="D165" s="142" t="e">
        <f>'RETA aruanne'!#REF!</f>
        <v>#REF!</v>
      </c>
      <c r="E165" s="25" t="e">
        <f t="shared" si="23"/>
        <v>#REF!</v>
      </c>
      <c r="F165" s="29" t="s">
        <v>990</v>
      </c>
      <c r="G165" s="26">
        <v>-125000000</v>
      </c>
      <c r="H165" s="25" t="e">
        <f>'RETA aruanne'!#REF!</f>
        <v>#REF!</v>
      </c>
      <c r="I165" s="25" t="e">
        <f t="shared" si="19"/>
        <v>#REF!</v>
      </c>
      <c r="K165" s="26"/>
      <c r="O165" s="26"/>
    </row>
    <row r="166" spans="1:15" hidden="1" x14ac:dyDescent="0.35">
      <c r="A166" t="s">
        <v>59</v>
      </c>
      <c r="B166" s="28" t="s">
        <v>61</v>
      </c>
      <c r="C166" s="26">
        <v>-27300000</v>
      </c>
      <c r="D166" s="142" t="e">
        <f>'RETA aruanne'!#REF!</f>
        <v>#REF!</v>
      </c>
      <c r="E166" s="25" t="e">
        <f t="shared" si="23"/>
        <v>#REF!</v>
      </c>
      <c r="F166" s="29"/>
      <c r="H166" s="25" t="e">
        <f>'RETA aruanne'!#REF!</f>
        <v>#REF!</v>
      </c>
      <c r="I166" s="25" t="e">
        <f t="shared" si="19"/>
        <v>#REF!</v>
      </c>
      <c r="K166" s="26"/>
      <c r="O166" s="26"/>
    </row>
    <row r="167" spans="1:15" hidden="1" x14ac:dyDescent="0.35">
      <c r="A167" t="s">
        <v>59</v>
      </c>
      <c r="B167" s="28" t="s">
        <v>62</v>
      </c>
      <c r="C167" s="26">
        <v>11191338</v>
      </c>
      <c r="D167" s="29"/>
      <c r="E167" s="25">
        <f t="shared" ref="E167" si="30">C167-D167</f>
        <v>11191338</v>
      </c>
      <c r="F167" s="29"/>
      <c r="G167" s="26">
        <f>75577147+5590000</f>
        <v>81167147</v>
      </c>
      <c r="H167" s="25"/>
      <c r="I167" s="25">
        <f t="shared" ref="I167" si="31">G167-H167</f>
        <v>81167147</v>
      </c>
      <c r="K167" s="26"/>
      <c r="O167" s="26"/>
    </row>
    <row r="168" spans="1:15" hidden="1" x14ac:dyDescent="0.35">
      <c r="A168" t="s">
        <v>889</v>
      </c>
      <c r="B168" t="s">
        <v>6</v>
      </c>
      <c r="C168" s="142">
        <v>1233780.3600000001</v>
      </c>
      <c r="D168" s="25" t="e">
        <f>'RETA aruanne'!#REF!</f>
        <v>#REF!</v>
      </c>
      <c r="E168" s="142" t="e">
        <f>C168-D168</f>
        <v>#REF!</v>
      </c>
      <c r="G168" s="142">
        <v>1379879.15</v>
      </c>
      <c r="H168" s="25" t="e">
        <f>'RETA aruanne'!#REF!</f>
        <v>#REF!</v>
      </c>
      <c r="I168" s="25" t="e">
        <f t="shared" si="19"/>
        <v>#REF!</v>
      </c>
      <c r="K168" s="26"/>
      <c r="O168" s="26"/>
    </row>
    <row r="169" spans="1:15" hidden="1" x14ac:dyDescent="0.35">
      <c r="A169" t="s">
        <v>889</v>
      </c>
      <c r="B169" t="s">
        <v>7</v>
      </c>
      <c r="C169" s="142">
        <v>9956458.4199999999</v>
      </c>
      <c r="D169" s="25" t="e">
        <f>'RETA aruanne'!#REF!+'RETA aruanne'!#REF!</f>
        <v>#REF!</v>
      </c>
      <c r="E169" s="142" t="e">
        <f t="shared" ref="E169:E187" si="32">C169-D169</f>
        <v>#REF!</v>
      </c>
      <c r="G169" s="142">
        <v>18042521.190000001</v>
      </c>
      <c r="H169" s="25" t="e">
        <f>'RETA aruanne'!#REF!+'RETA aruanne'!#REF!</f>
        <v>#REF!</v>
      </c>
      <c r="I169" s="25" t="e">
        <f t="shared" si="19"/>
        <v>#REF!</v>
      </c>
      <c r="K169" s="26"/>
      <c r="O169" s="26"/>
    </row>
    <row r="170" spans="1:15" hidden="1" x14ac:dyDescent="0.35">
      <c r="A170" t="s">
        <v>889</v>
      </c>
      <c r="B170" t="s">
        <v>5</v>
      </c>
      <c r="C170" s="142">
        <v>456102596.05000001</v>
      </c>
      <c r="D170" s="25" t="e">
        <f>'RETA aruanne'!#REF!+'RETA aruanne'!#REF!+'RETA aruanne'!#REF!</f>
        <v>#REF!</v>
      </c>
      <c r="E170" s="142" t="e">
        <f t="shared" si="32"/>
        <v>#REF!</v>
      </c>
      <c r="G170" s="142">
        <v>324503530.88999999</v>
      </c>
      <c r="H170" s="25" t="e">
        <f>'RETA aruanne'!#REF!+'RETA aruanne'!#REF!+'RETA aruanne'!#REF!</f>
        <v>#REF!</v>
      </c>
      <c r="I170" s="25" t="e">
        <f t="shared" si="19"/>
        <v>#REF!</v>
      </c>
      <c r="K170" s="26"/>
      <c r="O170" s="26"/>
    </row>
    <row r="171" spans="1:15" hidden="1" x14ac:dyDescent="0.35">
      <c r="A171" t="s">
        <v>889</v>
      </c>
      <c r="B171" t="s">
        <v>994</v>
      </c>
      <c r="C171" s="142">
        <v>0</v>
      </c>
      <c r="D171" s="25" t="e">
        <f>'RETA aruanne'!#REF!+'RETA aruanne'!#REF!</f>
        <v>#REF!</v>
      </c>
      <c r="E171" s="142" t="e">
        <f t="shared" si="32"/>
        <v>#REF!</v>
      </c>
      <c r="G171" s="142">
        <v>19539781.059999999</v>
      </c>
      <c r="H171" s="25" t="e">
        <f>'RETA aruanne'!#REF!+'RETA aruanne'!#REF!</f>
        <v>#REF!</v>
      </c>
      <c r="I171" s="25" t="e">
        <f t="shared" si="19"/>
        <v>#REF!</v>
      </c>
      <c r="K171" s="26"/>
      <c r="O171" s="26"/>
    </row>
    <row r="172" spans="1:15" hidden="1" x14ac:dyDescent="0.35">
      <c r="A172" t="s">
        <v>889</v>
      </c>
      <c r="B172" t="s">
        <v>9</v>
      </c>
      <c r="C172" s="142">
        <v>31817.360000000001</v>
      </c>
      <c r="D172" s="25" t="e">
        <f>'RETA aruanne'!#REF!</f>
        <v>#REF!</v>
      </c>
      <c r="E172" s="142" t="e">
        <f t="shared" si="32"/>
        <v>#REF!</v>
      </c>
      <c r="G172" s="142">
        <v>19235.490000000002</v>
      </c>
      <c r="H172" s="25" t="e">
        <f>'RETA aruanne'!#REF!</f>
        <v>#REF!</v>
      </c>
      <c r="I172" s="25" t="e">
        <f t="shared" si="19"/>
        <v>#REF!</v>
      </c>
      <c r="K172" s="26"/>
      <c r="O172" s="26"/>
    </row>
    <row r="173" spans="1:15" hidden="1" x14ac:dyDescent="0.35">
      <c r="A173" t="s">
        <v>889</v>
      </c>
      <c r="B173" t="s">
        <v>10</v>
      </c>
      <c r="C173" s="142">
        <v>1582696.52</v>
      </c>
      <c r="D173" s="25" t="e">
        <f>'RETA aruanne'!#REF!</f>
        <v>#REF!</v>
      </c>
      <c r="E173" s="142" t="e">
        <f t="shared" si="32"/>
        <v>#REF!</v>
      </c>
      <c r="G173" s="142">
        <v>1294265.6499999999</v>
      </c>
      <c r="H173" s="25" t="e">
        <f>'RETA aruanne'!#REF!</f>
        <v>#REF!</v>
      </c>
      <c r="I173" s="25" t="e">
        <f t="shared" si="19"/>
        <v>#REF!</v>
      </c>
      <c r="K173" s="26"/>
      <c r="O173" s="26"/>
    </row>
    <row r="174" spans="1:15" hidden="1" x14ac:dyDescent="0.35">
      <c r="A174" t="s">
        <v>889</v>
      </c>
      <c r="B174" t="s">
        <v>720</v>
      </c>
      <c r="C174" s="142">
        <f>543421.59+1922005.84-C173</f>
        <v>882730.91000000015</v>
      </c>
      <c r="D174" s="25" t="e">
        <f>'RETA aruanne'!#REF!</f>
        <v>#REF!</v>
      </c>
      <c r="E174" s="142" t="e">
        <f t="shared" si="32"/>
        <v>#REF!</v>
      </c>
      <c r="G174" s="142">
        <f>1528873.31+372375.33-1294265.65</f>
        <v>606982.99000000022</v>
      </c>
      <c r="H174" s="25" t="e">
        <f>'RETA aruanne'!#REF!</f>
        <v>#REF!</v>
      </c>
      <c r="I174" s="25" t="e">
        <f t="shared" si="19"/>
        <v>#REF!</v>
      </c>
      <c r="K174" s="26"/>
      <c r="O174" s="26"/>
    </row>
    <row r="175" spans="1:15" hidden="1" x14ac:dyDescent="0.35">
      <c r="A175" t="s">
        <v>889</v>
      </c>
      <c r="B175" t="s">
        <v>49</v>
      </c>
      <c r="C175" s="142">
        <f>8502.6+57902.23</f>
        <v>66404.83</v>
      </c>
      <c r="D175" s="25"/>
      <c r="E175" s="142">
        <f t="shared" si="32"/>
        <v>66404.83</v>
      </c>
      <c r="G175" s="142">
        <f>7865.89+75355.63</f>
        <v>83221.52</v>
      </c>
      <c r="H175" s="25"/>
      <c r="I175" s="25">
        <f t="shared" si="19"/>
        <v>83221.52</v>
      </c>
      <c r="K175" s="26"/>
      <c r="O175" s="26"/>
    </row>
    <row r="176" spans="1:15" hidden="1" x14ac:dyDescent="0.35">
      <c r="A176" t="s">
        <v>889</v>
      </c>
      <c r="B176" t="s">
        <v>41</v>
      </c>
      <c r="C176" s="142">
        <f>66461.57+7372017.12-9468.84</f>
        <v>7429009.8500000006</v>
      </c>
      <c r="D176" s="25" t="e">
        <f>'RETA aruanne'!#REF!</f>
        <v>#REF!</v>
      </c>
      <c r="E176" s="142" t="e">
        <f t="shared" si="32"/>
        <v>#REF!</v>
      </c>
      <c r="G176" s="142">
        <f>81662.02+5740324.3+1524062.2</f>
        <v>7346048.5199999996</v>
      </c>
      <c r="H176" s="25" t="e">
        <f>'RETA aruanne'!#REF!</f>
        <v>#REF!</v>
      </c>
      <c r="I176" s="25" t="e">
        <f t="shared" si="19"/>
        <v>#REF!</v>
      </c>
      <c r="K176" s="26"/>
      <c r="O176" s="26"/>
    </row>
    <row r="177" spans="1:15" hidden="1" x14ac:dyDescent="0.35">
      <c r="A177" t="s">
        <v>889</v>
      </c>
      <c r="B177" t="s">
        <v>796</v>
      </c>
      <c r="C177" s="142">
        <f>-1507067077.14-C180-C183</f>
        <v>-1500870657.2</v>
      </c>
      <c r="D177" s="25" t="e">
        <f>'RETA aruanne'!#REF!+'RETA aruanne'!#REF!+'RETA aruanne'!#REF!+'RETA aruanne'!#REF!-D180+'RETA aruanne'!#REF!</f>
        <v>#REF!</v>
      </c>
      <c r="E177" s="142" t="e">
        <f t="shared" si="32"/>
        <v>#REF!</v>
      </c>
      <c r="G177" s="142">
        <f>-1371104283.41-G180-G183</f>
        <v>-1363827068.9300001</v>
      </c>
      <c r="H177" s="25" t="e">
        <f>'RETA aruanne'!#REF!+'RETA aruanne'!#REF!+'RETA aruanne'!#REF!+'RETA aruanne'!#REF!-H180+'RETA aruanne'!#REF!</f>
        <v>#REF!</v>
      </c>
      <c r="I177" s="25" t="e">
        <f t="shared" si="19"/>
        <v>#REF!</v>
      </c>
      <c r="K177" s="26"/>
      <c r="O177" s="26"/>
    </row>
    <row r="178" spans="1:15" hidden="1" x14ac:dyDescent="0.35">
      <c r="A178" t="s">
        <v>889</v>
      </c>
      <c r="B178" t="s">
        <v>50</v>
      </c>
      <c r="C178" s="142">
        <f>-3741.4-54160.79-8502.6</f>
        <v>-66404.790000000008</v>
      </c>
      <c r="D178" s="25"/>
      <c r="E178" s="142">
        <f t="shared" si="32"/>
        <v>-66404.790000000008</v>
      </c>
      <c r="G178" s="142">
        <f>-75298.63-7922.89</f>
        <v>-83221.52</v>
      </c>
      <c r="H178" s="25"/>
      <c r="I178" s="25">
        <f t="shared" si="19"/>
        <v>-83221.52</v>
      </c>
      <c r="K178" s="26"/>
      <c r="O178" s="26"/>
    </row>
    <row r="179" spans="1:15" hidden="1" x14ac:dyDescent="0.35">
      <c r="A179" t="s">
        <v>889</v>
      </c>
      <c r="B179" t="s">
        <v>42</v>
      </c>
      <c r="C179" s="142">
        <v>-282973.64</v>
      </c>
      <c r="D179" s="25"/>
      <c r="E179" s="142">
        <f t="shared" si="32"/>
        <v>-282973.64</v>
      </c>
      <c r="G179" s="142">
        <v>-159443.04999999999</v>
      </c>
      <c r="H179" s="25"/>
      <c r="I179" s="25">
        <f t="shared" si="19"/>
        <v>-159443.04999999999</v>
      </c>
      <c r="K179" s="26"/>
      <c r="O179" s="26"/>
    </row>
    <row r="180" spans="1:15" hidden="1" x14ac:dyDescent="0.35">
      <c r="A180" t="s">
        <v>889</v>
      </c>
      <c r="B180" s="28" t="s">
        <v>657</v>
      </c>
      <c r="C180" s="142">
        <v>-4973559.68</v>
      </c>
      <c r="D180" s="25" t="e">
        <f>'RETA aruanne'!#REF!</f>
        <v>#REF!</v>
      </c>
      <c r="E180" s="142" t="e">
        <f t="shared" si="32"/>
        <v>#REF!</v>
      </c>
      <c r="F180" s="29"/>
      <c r="G180" s="142">
        <v>-5249595.83</v>
      </c>
      <c r="H180" s="25" t="e">
        <f>'RETA aruanne'!#REF!</f>
        <v>#REF!</v>
      </c>
      <c r="I180" s="25" t="e">
        <f t="shared" si="19"/>
        <v>#REF!</v>
      </c>
      <c r="K180" s="26"/>
      <c r="O180" s="26"/>
    </row>
    <row r="181" spans="1:15" hidden="1" x14ac:dyDescent="0.35">
      <c r="A181" t="s">
        <v>889</v>
      </c>
      <c r="B181" s="28" t="s">
        <v>25</v>
      </c>
      <c r="C181" s="142">
        <f>-3719139.96+90809-5461498.18+52169.3</f>
        <v>-9037659.8399999999</v>
      </c>
      <c r="D181" s="25" t="e">
        <f>'RETA aruanne'!#REF!-'RETA aruanne'!#REF!</f>
        <v>#REF!</v>
      </c>
      <c r="E181" s="142" t="e">
        <f t="shared" si="32"/>
        <v>#REF!</v>
      </c>
      <c r="F181" s="29"/>
      <c r="G181" s="142">
        <f>-5650935-5359103.55</f>
        <v>-11010038.550000001</v>
      </c>
      <c r="H181" s="25" t="e">
        <f>'RETA aruanne'!#REF!-'RETA aruanne'!#REF!</f>
        <v>#REF!</v>
      </c>
      <c r="I181" s="25" t="e">
        <f t="shared" si="19"/>
        <v>#REF!</v>
      </c>
      <c r="K181" s="26"/>
      <c r="O181" s="26"/>
    </row>
    <row r="182" spans="1:15" hidden="1" x14ac:dyDescent="0.35">
      <c r="A182" t="s">
        <v>889</v>
      </c>
      <c r="B182" t="s">
        <v>51</v>
      </c>
      <c r="C182" s="142">
        <v>-19809</v>
      </c>
      <c r="D182" s="25">
        <v>0</v>
      </c>
      <c r="E182" s="142">
        <f t="shared" si="32"/>
        <v>-19809</v>
      </c>
      <c r="G182" s="142">
        <v>19809</v>
      </c>
      <c r="H182" s="25">
        <v>0</v>
      </c>
      <c r="I182" s="25">
        <f t="shared" si="19"/>
        <v>19809</v>
      </c>
      <c r="K182" s="26"/>
      <c r="O182" s="26"/>
    </row>
    <row r="183" spans="1:15" hidden="1" x14ac:dyDescent="0.35">
      <c r="A183" t="s">
        <v>889</v>
      </c>
      <c r="B183" s="28" t="s">
        <v>794</v>
      </c>
      <c r="C183" s="142">
        <v>-1222860.26</v>
      </c>
      <c r="D183" s="25" t="e">
        <f>'RETA aruanne'!#REF!</f>
        <v>#REF!</v>
      </c>
      <c r="E183" s="142" t="e">
        <f t="shared" si="32"/>
        <v>#REF!</v>
      </c>
      <c r="G183" s="142">
        <v>-2027618.65</v>
      </c>
      <c r="H183" s="25" t="e">
        <f>'RETA aruanne'!#REF!</f>
        <v>#REF!</v>
      </c>
      <c r="I183" s="25" t="e">
        <f t="shared" si="19"/>
        <v>#REF!</v>
      </c>
      <c r="K183" s="26"/>
      <c r="O183" s="26"/>
    </row>
    <row r="184" spans="1:15" hidden="1" x14ac:dyDescent="0.35">
      <c r="A184" t="s">
        <v>889</v>
      </c>
      <c r="B184" s="28" t="s">
        <v>801</v>
      </c>
      <c r="C184" s="142">
        <v>0</v>
      </c>
      <c r="D184" s="25" t="e">
        <f>'RETA aruanne'!#REF!</f>
        <v>#REF!</v>
      </c>
      <c r="E184" s="142" t="e">
        <f t="shared" si="32"/>
        <v>#REF!</v>
      </c>
      <c r="F184" s="29"/>
      <c r="G184" s="142">
        <f>-1862.07-4800.78-17287.02-25446.69+2137627.21+1336390.21</f>
        <v>3424620.86</v>
      </c>
      <c r="H184" s="25" t="e">
        <f>'RETA aruanne'!#REF!</f>
        <v>#REF!</v>
      </c>
      <c r="I184" s="25" t="e">
        <f t="shared" si="19"/>
        <v>#REF!</v>
      </c>
      <c r="K184" s="26"/>
      <c r="O184" s="26"/>
    </row>
    <row r="185" spans="1:15" hidden="1" x14ac:dyDescent="0.35">
      <c r="A185" t="s">
        <v>889</v>
      </c>
      <c r="B185" s="28" t="s">
        <v>993</v>
      </c>
      <c r="C185" s="142">
        <v>0</v>
      </c>
      <c r="D185" s="25" t="e">
        <f>'RETA aruanne'!#REF!</f>
        <v>#REF!</v>
      </c>
      <c r="E185" s="142" t="e">
        <f t="shared" si="32"/>
        <v>#REF!</v>
      </c>
      <c r="F185" s="29"/>
      <c r="G185" s="142">
        <f>-20000000+44839558</f>
        <v>24839558</v>
      </c>
      <c r="H185" s="25"/>
      <c r="I185" s="25"/>
      <c r="K185" s="26"/>
      <c r="O185" s="26"/>
    </row>
    <row r="186" spans="1:15" hidden="1" x14ac:dyDescent="0.35">
      <c r="A186" t="s">
        <v>889</v>
      </c>
      <c r="B186" s="28" t="s">
        <v>846</v>
      </c>
      <c r="C186" s="142">
        <v>-24000000</v>
      </c>
      <c r="D186" s="25" t="e">
        <f>'RETA aruanne'!#REF!</f>
        <v>#REF!</v>
      </c>
      <c r="E186" s="142" t="e">
        <f t="shared" ref="E186" si="33">C186-D186</f>
        <v>#REF!</v>
      </c>
      <c r="F186" s="29"/>
      <c r="G186" s="142">
        <v>13735459.58</v>
      </c>
      <c r="H186" s="25" t="e">
        <f>'RETA aruanne'!#REF!</f>
        <v>#REF!</v>
      </c>
      <c r="I186" s="25" t="e">
        <f t="shared" ref="I186" si="34">G186-H186</f>
        <v>#REF!</v>
      </c>
      <c r="K186" s="26"/>
      <c r="O186" s="26"/>
    </row>
    <row r="187" spans="1:15" hidden="1" x14ac:dyDescent="0.35">
      <c r="A187" t="s">
        <v>889</v>
      </c>
      <c r="B187" s="28" t="s">
        <v>1154</v>
      </c>
      <c r="C187" s="142">
        <v>14440358.65</v>
      </c>
      <c r="D187" s="25"/>
      <c r="E187" s="142">
        <f t="shared" si="32"/>
        <v>14440358.65</v>
      </c>
      <c r="F187" s="29"/>
      <c r="G187" s="142">
        <v>0</v>
      </c>
      <c r="H187" s="25">
        <v>0</v>
      </c>
      <c r="I187" s="25">
        <f t="shared" si="19"/>
        <v>0</v>
      </c>
      <c r="K187" s="26"/>
      <c r="O187" s="26"/>
    </row>
    <row r="188" spans="1:15" hidden="1" x14ac:dyDescent="0.35">
      <c r="A188" t="s">
        <v>63</v>
      </c>
      <c r="B188" t="s">
        <v>4</v>
      </c>
      <c r="C188" s="26">
        <v>15473922189.85</v>
      </c>
      <c r="D188" s="25" t="e">
        <f>'RETA aruanne'!#REF!+'RETA aruanne'!#REF!+'RETA aruanne'!#REF!</f>
        <v>#REF!</v>
      </c>
      <c r="E188" s="25" t="e">
        <f t="shared" ref="E188:E218" si="35">C188-D188</f>
        <v>#REF!</v>
      </c>
      <c r="F188" t="s">
        <v>858</v>
      </c>
      <c r="G188" s="26">
        <v>14310599607.66</v>
      </c>
      <c r="H188" s="25" t="e">
        <f>'RETA aruanne'!#REF!+'RETA aruanne'!#REF!+'RETA aruanne'!#REF!</f>
        <v>#REF!</v>
      </c>
      <c r="I188" s="25" t="e">
        <f t="shared" si="19"/>
        <v>#REF!</v>
      </c>
      <c r="J188" t="s">
        <v>1155</v>
      </c>
      <c r="O188" s="26"/>
    </row>
    <row r="189" spans="1:15" hidden="1" x14ac:dyDescent="0.35">
      <c r="A189" t="s">
        <v>63</v>
      </c>
      <c r="B189" t="s">
        <v>5</v>
      </c>
      <c r="C189" s="26">
        <v>30326593.870000001</v>
      </c>
      <c r="D189" s="25" t="e">
        <f>'RETA aruanne'!#REF!+'RETA aruanne'!#REF!+'RETA aruanne'!#REF!+'RETA aruanne'!#REF!</f>
        <v>#REF!</v>
      </c>
      <c r="E189" s="25" t="e">
        <f t="shared" si="35"/>
        <v>#REF!</v>
      </c>
      <c r="G189" s="26">
        <v>28231982.640000001</v>
      </c>
      <c r="H189" s="25" t="e">
        <f>'RETA aruanne'!#REF!+'RETA aruanne'!#REF!+'RETA aruanne'!#REF!+'RETA aruanne'!#REF!</f>
        <v>#REF!</v>
      </c>
      <c r="I189" s="25" t="e">
        <f t="shared" si="19"/>
        <v>#REF!</v>
      </c>
      <c r="O189" s="26"/>
    </row>
    <row r="190" spans="1:15" hidden="1" x14ac:dyDescent="0.35">
      <c r="A190" t="s">
        <v>63</v>
      </c>
      <c r="B190" t="s">
        <v>6</v>
      </c>
      <c r="C190" s="26">
        <v>1046858.5</v>
      </c>
      <c r="D190" s="25" t="e">
        <f>'RETA aruanne'!#REF!</f>
        <v>#REF!</v>
      </c>
      <c r="E190" s="25" t="e">
        <f t="shared" si="35"/>
        <v>#REF!</v>
      </c>
      <c r="G190" s="26">
        <v>642363.55000000005</v>
      </c>
      <c r="H190" s="25" t="e">
        <f>'RETA aruanne'!#REF!</f>
        <v>#REF!</v>
      </c>
      <c r="I190" s="25" t="e">
        <f t="shared" si="19"/>
        <v>#REF!</v>
      </c>
      <c r="O190" s="26"/>
    </row>
    <row r="191" spans="1:15" hidden="1" x14ac:dyDescent="0.35">
      <c r="A191" t="s">
        <v>63</v>
      </c>
      <c r="B191" t="s">
        <v>7</v>
      </c>
      <c r="C191" s="26">
        <v>1777929.33</v>
      </c>
      <c r="D191" s="25" t="e">
        <f>'RETA aruanne'!#REF!</f>
        <v>#REF!</v>
      </c>
      <c r="E191" s="25" t="e">
        <f t="shared" si="35"/>
        <v>#REF!</v>
      </c>
      <c r="F191" s="26" t="s">
        <v>859</v>
      </c>
      <c r="G191" s="26">
        <v>1069409.83</v>
      </c>
      <c r="H191" s="25" t="e">
        <f>'RETA aruanne'!#REF!</f>
        <v>#REF!</v>
      </c>
      <c r="I191" s="25" t="e">
        <f t="shared" si="19"/>
        <v>#REF!</v>
      </c>
      <c r="J191" t="s">
        <v>847</v>
      </c>
      <c r="O191" s="26"/>
    </row>
    <row r="192" spans="1:15" hidden="1" x14ac:dyDescent="0.35">
      <c r="A192" t="s">
        <v>63</v>
      </c>
      <c r="B192" t="s">
        <v>994</v>
      </c>
      <c r="C192" s="26">
        <v>157826.29</v>
      </c>
      <c r="D192" s="25" t="e">
        <f>'RETA aruanne'!#REF!+'RETA aruanne'!#REF!</f>
        <v>#REF!</v>
      </c>
      <c r="E192" s="25" t="e">
        <f t="shared" si="35"/>
        <v>#REF!</v>
      </c>
      <c r="G192" s="26">
        <v>-6516.09</v>
      </c>
      <c r="H192" s="25" t="e">
        <f>'RETA aruanne'!#REF!+'RETA aruanne'!#REF!</f>
        <v>#REF!</v>
      </c>
      <c r="I192" s="25" t="e">
        <f t="shared" si="19"/>
        <v>#REF!</v>
      </c>
      <c r="O192" s="26"/>
    </row>
    <row r="193" spans="1:15" hidden="1" x14ac:dyDescent="0.35">
      <c r="A193" t="s">
        <v>63</v>
      </c>
      <c r="B193" t="s">
        <v>9</v>
      </c>
      <c r="C193" s="26">
        <v>672828.76</v>
      </c>
      <c r="D193" s="25" t="e">
        <f>'RETA aruanne'!#REF!+'RETA aruanne'!#REF!</f>
        <v>#REF!</v>
      </c>
      <c r="E193" s="25" t="e">
        <f t="shared" si="35"/>
        <v>#REF!</v>
      </c>
      <c r="G193" s="26">
        <v>247179.26</v>
      </c>
      <c r="H193" s="25" t="e">
        <f>'RETA aruanne'!#REF!+'RETA aruanne'!#REF!</f>
        <v>#REF!</v>
      </c>
      <c r="I193" s="25" t="e">
        <f t="shared" si="19"/>
        <v>#REF!</v>
      </c>
      <c r="O193" s="26"/>
    </row>
    <row r="194" spans="1:15" hidden="1" x14ac:dyDescent="0.35">
      <c r="A194" t="s">
        <v>63</v>
      </c>
      <c r="B194" t="s">
        <v>720</v>
      </c>
      <c r="C194" s="26">
        <f>23871343.81+3976121.83</f>
        <v>27847465.640000001</v>
      </c>
      <c r="D194" s="25" t="e">
        <f>'RETA aruanne'!#REF!+'RETA aruanne'!#REF!</f>
        <v>#REF!</v>
      </c>
      <c r="E194" s="25" t="e">
        <f t="shared" si="35"/>
        <v>#REF!</v>
      </c>
      <c r="G194" s="26">
        <f>19086432.22+4988780.74</f>
        <v>24075212.960000001</v>
      </c>
      <c r="H194" s="25" t="e">
        <f>'RETA aruanne'!#REF!+'RETA aruanne'!#REF!</f>
        <v>#REF!</v>
      </c>
      <c r="I194" s="25" t="e">
        <f t="shared" si="19"/>
        <v>#REF!</v>
      </c>
      <c r="J194" t="s">
        <v>848</v>
      </c>
      <c r="O194" s="26"/>
    </row>
    <row r="195" spans="1:15" hidden="1" x14ac:dyDescent="0.35">
      <c r="A195" t="s">
        <v>63</v>
      </c>
      <c r="B195" t="s">
        <v>49</v>
      </c>
      <c r="C195" s="26">
        <f>143372.15+91197.4+8</f>
        <v>234577.55</v>
      </c>
      <c r="D195" s="25"/>
      <c r="E195" s="25">
        <f t="shared" si="35"/>
        <v>234577.55</v>
      </c>
      <c r="G195" s="26">
        <f>131305.01+118258.08</f>
        <v>249563.09000000003</v>
      </c>
      <c r="H195" s="25"/>
      <c r="I195" s="25">
        <f t="shared" si="19"/>
        <v>249563.09000000003</v>
      </c>
      <c r="K195" s="26"/>
      <c r="O195" s="26"/>
    </row>
    <row r="196" spans="1:15" hidden="1" x14ac:dyDescent="0.35">
      <c r="A196" t="s">
        <v>63</v>
      </c>
      <c r="B196" t="s">
        <v>41</v>
      </c>
      <c r="C196" s="26">
        <f>96239879+65683312.62+20019726.43</f>
        <v>181942918.05000001</v>
      </c>
      <c r="D196" s="25" t="e">
        <f>'RETA aruanne'!#REF!</f>
        <v>#REF!</v>
      </c>
      <c r="E196" s="25" t="e">
        <f t="shared" si="35"/>
        <v>#REF!</v>
      </c>
      <c r="G196" s="26">
        <f>119324101+120351376.2+2355207.9</f>
        <v>242030685.09999999</v>
      </c>
      <c r="H196" s="25" t="e">
        <f>'RETA aruanne'!#REF!</f>
        <v>#REF!</v>
      </c>
      <c r="I196" s="25" t="e">
        <f t="shared" si="19"/>
        <v>#REF!</v>
      </c>
      <c r="O196" s="26"/>
    </row>
    <row r="197" spans="1:15" hidden="1" x14ac:dyDescent="0.35">
      <c r="A197" t="s">
        <v>63</v>
      </c>
      <c r="B197" t="s">
        <v>796</v>
      </c>
      <c r="C197" s="26">
        <f>-8420358415.08-C200-C202-C218</f>
        <v>-8410507287.3100004</v>
      </c>
      <c r="D197" s="25" t="e">
        <f>'RETA aruanne'!#REF!+'RETA aruanne'!#REF!+'RETA aruanne'!#REF!+'RETA aruanne'!#REF!+'RETA aruanne'!#REF!+'RETA aruanne'!#REF!+'RETA aruanne'!#REF!-D200</f>
        <v>#REF!</v>
      </c>
      <c r="E197" s="25" t="e">
        <f t="shared" si="35"/>
        <v>#REF!</v>
      </c>
      <c r="G197" s="26">
        <f>-7955841011.45-G200-G202-G218</f>
        <v>-7944815752.3699999</v>
      </c>
      <c r="H197" s="25" t="e">
        <f>'RETA aruanne'!#REF!+'RETA aruanne'!#REF!+'RETA aruanne'!#REF!+'RETA aruanne'!#REF!+'RETA aruanne'!#REF!+'RETA aruanne'!#REF!+'RETA aruanne'!#REF!-H200</f>
        <v>#REF!</v>
      </c>
      <c r="I197" s="25" t="e">
        <f t="shared" si="19"/>
        <v>#REF!</v>
      </c>
      <c r="J197" s="31"/>
      <c r="K197" s="31"/>
      <c r="O197" s="26"/>
    </row>
    <row r="198" spans="1:15" hidden="1" x14ac:dyDescent="0.35">
      <c r="A198" t="s">
        <v>63</v>
      </c>
      <c r="B198" t="s">
        <v>50</v>
      </c>
      <c r="C198" s="26">
        <f>-91197.4-143380.15</f>
        <v>-234577.55</v>
      </c>
      <c r="D198" s="25"/>
      <c r="E198" s="25">
        <f t="shared" si="35"/>
        <v>-234577.55</v>
      </c>
      <c r="G198" s="26">
        <f>-131305.01-118258.08</f>
        <v>-249563.09000000003</v>
      </c>
      <c r="H198" s="25"/>
      <c r="I198" s="25">
        <f t="shared" si="19"/>
        <v>-249563.09000000003</v>
      </c>
      <c r="O198" s="26"/>
    </row>
    <row r="199" spans="1:15" hidden="1" x14ac:dyDescent="0.35">
      <c r="A199" t="s">
        <v>63</v>
      </c>
      <c r="B199" t="s">
        <v>42</v>
      </c>
      <c r="C199" s="26">
        <v>-219505346.34</v>
      </c>
      <c r="D199" s="25"/>
      <c r="E199" s="25">
        <f t="shared" si="35"/>
        <v>-219505346.34</v>
      </c>
      <c r="G199" s="26">
        <v>-278562814.08999997</v>
      </c>
      <c r="H199" s="25"/>
      <c r="I199" s="25">
        <f t="shared" si="19"/>
        <v>-278562814.08999997</v>
      </c>
      <c r="O199" s="26"/>
    </row>
    <row r="200" spans="1:15" hidden="1" x14ac:dyDescent="0.35">
      <c r="A200" t="s">
        <v>63</v>
      </c>
      <c r="B200" s="28" t="s">
        <v>657</v>
      </c>
      <c r="C200" s="26">
        <v>-6634117.7400000002</v>
      </c>
      <c r="D200" s="25" t="e">
        <f>'RETA aruanne'!#REF!</f>
        <v>#REF!</v>
      </c>
      <c r="E200" s="25" t="e">
        <f t="shared" si="35"/>
        <v>#REF!</v>
      </c>
      <c r="F200" s="29"/>
      <c r="G200" s="26">
        <v>-6662974.4900000002</v>
      </c>
      <c r="H200" s="25" t="e">
        <f>'RETA aruanne'!#REF!</f>
        <v>#REF!</v>
      </c>
      <c r="I200" s="25" t="e">
        <f t="shared" si="19"/>
        <v>#REF!</v>
      </c>
      <c r="O200" s="26"/>
    </row>
    <row r="201" spans="1:15" hidden="1" x14ac:dyDescent="0.35">
      <c r="A201" t="s">
        <v>63</v>
      </c>
      <c r="B201" s="28" t="s">
        <v>25</v>
      </c>
      <c r="C201" s="26">
        <f>-843954.52-13052872.64</f>
        <v>-13896827.16</v>
      </c>
      <c r="D201" s="25" t="e">
        <f>'RETA aruanne'!#REF!+'RETA aruanne'!#REF!-'RETA aruanne'!#REF!</f>
        <v>#REF!</v>
      </c>
      <c r="E201" s="25" t="e">
        <f t="shared" si="35"/>
        <v>#REF!</v>
      </c>
      <c r="F201" s="29"/>
      <c r="G201" s="26">
        <f>-5204725.91-14627597.41</f>
        <v>-19832323.32</v>
      </c>
      <c r="H201" s="25" t="e">
        <f>'RETA aruanne'!#REF!+'RETA aruanne'!#REF!-'RETA aruanne'!#REF!</f>
        <v>#REF!</v>
      </c>
      <c r="I201" s="25" t="e">
        <f t="shared" si="19"/>
        <v>#REF!</v>
      </c>
      <c r="O201" s="26"/>
    </row>
    <row r="202" spans="1:15" hidden="1" x14ac:dyDescent="0.35">
      <c r="A202" t="s">
        <v>63</v>
      </c>
      <c r="B202" s="28" t="s">
        <v>794</v>
      </c>
      <c r="C202" s="26">
        <v>-3216654.44</v>
      </c>
      <c r="D202" s="25" t="e">
        <f>'RETA aruanne'!#REF!</f>
        <v>#REF!</v>
      </c>
      <c r="E202" s="25" t="e">
        <f t="shared" si="35"/>
        <v>#REF!</v>
      </c>
      <c r="F202" s="29"/>
      <c r="G202" s="26">
        <v>-4358135.74</v>
      </c>
      <c r="H202" s="25" t="e">
        <f>'RETA aruanne'!#REF!</f>
        <v>#REF!</v>
      </c>
      <c r="I202" s="25" t="e">
        <f t="shared" si="19"/>
        <v>#REF!</v>
      </c>
      <c r="O202" s="26"/>
    </row>
    <row r="203" spans="1:15" hidden="1" x14ac:dyDescent="0.35">
      <c r="A203" t="s">
        <v>63</v>
      </c>
      <c r="B203" s="28" t="s">
        <v>800</v>
      </c>
      <c r="C203" s="26"/>
      <c r="D203" s="25" t="e">
        <f>'RETA aruanne'!#REF!</f>
        <v>#REF!</v>
      </c>
      <c r="E203" s="25" t="e">
        <f t="shared" si="35"/>
        <v>#REF!</v>
      </c>
      <c r="H203" s="25" t="e">
        <f>'RETA aruanne'!#REF!</f>
        <v>#REF!</v>
      </c>
      <c r="I203" s="25" t="e">
        <f t="shared" si="19"/>
        <v>#REF!</v>
      </c>
      <c r="J203" s="2"/>
      <c r="O203" s="26"/>
    </row>
    <row r="204" spans="1:15" hidden="1" x14ac:dyDescent="0.35">
      <c r="A204" t="s">
        <v>63</v>
      </c>
      <c r="B204" s="28" t="s">
        <v>1156</v>
      </c>
      <c r="C204" s="26"/>
      <c r="D204" s="25" t="e">
        <f>'RETA aruanne'!#REF!</f>
        <v>#REF!</v>
      </c>
      <c r="E204" s="25" t="e">
        <f t="shared" si="35"/>
        <v>#REF!</v>
      </c>
      <c r="H204" s="25" t="e">
        <f>'RETA aruanne'!#REF!</f>
        <v>#REF!</v>
      </c>
      <c r="I204" s="25" t="e">
        <f t="shared" si="19"/>
        <v>#REF!</v>
      </c>
      <c r="J204" s="2"/>
      <c r="O204" s="26"/>
    </row>
    <row r="205" spans="1:15" hidden="1" x14ac:dyDescent="0.35">
      <c r="A205" t="s">
        <v>63</v>
      </c>
      <c r="B205" s="28" t="s">
        <v>801</v>
      </c>
      <c r="C205" s="26"/>
      <c r="D205" s="25" t="e">
        <f>'RETA aruanne'!#REF!</f>
        <v>#REF!</v>
      </c>
      <c r="E205" s="25" t="e">
        <f t="shared" si="35"/>
        <v>#REF!</v>
      </c>
      <c r="H205" s="25" t="e">
        <f>'RETA aruanne'!#REF!</f>
        <v>#REF!</v>
      </c>
      <c r="I205" s="25" t="e">
        <f t="shared" si="19"/>
        <v>#REF!</v>
      </c>
      <c r="J205" s="2"/>
      <c r="O205" s="26"/>
    </row>
    <row r="206" spans="1:15" hidden="1" x14ac:dyDescent="0.35">
      <c r="A206" t="s">
        <v>63</v>
      </c>
      <c r="B206" t="s">
        <v>60</v>
      </c>
      <c r="C206" s="26">
        <v>-107200000</v>
      </c>
      <c r="D206" s="25" t="e">
        <f>'RETA aruanne'!#REF!</f>
        <v>#REF!</v>
      </c>
      <c r="E206" s="25" t="e">
        <f t="shared" si="35"/>
        <v>#REF!</v>
      </c>
      <c r="H206" s="25"/>
      <c r="I206" s="25">
        <f t="shared" si="19"/>
        <v>0</v>
      </c>
      <c r="J206" s="2"/>
      <c r="O206" s="26"/>
    </row>
    <row r="207" spans="1:15" hidden="1" x14ac:dyDescent="0.35">
      <c r="A207" t="s">
        <v>63</v>
      </c>
      <c r="B207" t="s">
        <v>64</v>
      </c>
      <c r="C207" s="26">
        <v>-2074655.27</v>
      </c>
      <c r="D207" s="25"/>
      <c r="E207" s="25">
        <f t="shared" si="35"/>
        <v>-2074655.27</v>
      </c>
      <c r="G207" s="26">
        <v>-3801085.11</v>
      </c>
      <c r="H207" s="25"/>
      <c r="I207" s="25">
        <f t="shared" si="19"/>
        <v>-3801085.11</v>
      </c>
      <c r="J207" s="2"/>
      <c r="O207" s="26"/>
    </row>
    <row r="208" spans="1:15" hidden="1" x14ac:dyDescent="0.35">
      <c r="A208" t="s">
        <v>63</v>
      </c>
      <c r="B208" t="s">
        <v>771</v>
      </c>
      <c r="C208" s="26">
        <v>0</v>
      </c>
      <c r="D208" s="25"/>
      <c r="E208" s="25">
        <f t="shared" si="35"/>
        <v>0</v>
      </c>
      <c r="G208" s="26">
        <v>3590130.37</v>
      </c>
      <c r="H208" s="25"/>
      <c r="I208" s="25">
        <f t="shared" si="19"/>
        <v>3590130.37</v>
      </c>
      <c r="J208" s="2"/>
      <c r="O208" s="26"/>
    </row>
    <row r="209" spans="1:15" hidden="1" x14ac:dyDescent="0.35">
      <c r="A209" t="s">
        <v>63</v>
      </c>
      <c r="B209" t="s">
        <v>860</v>
      </c>
      <c r="C209" s="26">
        <v>0</v>
      </c>
      <c r="D209" s="25"/>
      <c r="E209" s="25">
        <f t="shared" si="35"/>
        <v>0</v>
      </c>
      <c r="G209" s="26">
        <v>0</v>
      </c>
      <c r="H209" s="25"/>
      <c r="I209" s="25">
        <f t="shared" si="19"/>
        <v>0</v>
      </c>
      <c r="J209" s="2"/>
      <c r="O209" s="26"/>
    </row>
    <row r="210" spans="1:15" hidden="1" x14ac:dyDescent="0.35">
      <c r="A210" t="s">
        <v>63</v>
      </c>
      <c r="B210" t="s">
        <v>65</v>
      </c>
      <c r="C210" s="26">
        <v>7313513.7999999998</v>
      </c>
      <c r="D210" s="25"/>
      <c r="E210" s="25">
        <f t="shared" si="35"/>
        <v>7313513.7999999998</v>
      </c>
      <c r="G210" s="26">
        <v>7794805.9000000004</v>
      </c>
      <c r="H210" s="25"/>
      <c r="I210" s="25">
        <f t="shared" ref="I210:I263" si="36">G210-H210</f>
        <v>7794805.9000000004</v>
      </c>
      <c r="J210" s="2"/>
      <c r="O210" s="26"/>
    </row>
    <row r="211" spans="1:15" hidden="1" x14ac:dyDescent="0.35">
      <c r="A211" t="s">
        <v>63</v>
      </c>
      <c r="B211" t="s">
        <v>66</v>
      </c>
      <c r="C211" s="26">
        <f>2334635781.96+501620000-129400</f>
        <v>2836126381.96</v>
      </c>
      <c r="D211" s="25"/>
      <c r="E211" s="25">
        <f t="shared" si="35"/>
        <v>2836126381.96</v>
      </c>
      <c r="G211" s="26">
        <f>2744047834.06+1200000000</f>
        <v>3944047834.0599999</v>
      </c>
      <c r="H211" s="25"/>
      <c r="I211" s="25">
        <f t="shared" si="36"/>
        <v>3944047834.0599999</v>
      </c>
      <c r="J211" s="25"/>
      <c r="O211" s="26"/>
    </row>
    <row r="212" spans="1:15" hidden="1" x14ac:dyDescent="0.35">
      <c r="A212" t="s">
        <v>63</v>
      </c>
      <c r="B212" t="s">
        <v>67</v>
      </c>
      <c r="C212" s="26">
        <v>0</v>
      </c>
      <c r="D212" s="25"/>
      <c r="E212" s="25">
        <f t="shared" si="35"/>
        <v>0</v>
      </c>
      <c r="H212" s="25"/>
      <c r="I212" s="25">
        <f t="shared" si="36"/>
        <v>0</v>
      </c>
      <c r="J212" s="2"/>
      <c r="O212" s="26"/>
    </row>
    <row r="213" spans="1:15" hidden="1" x14ac:dyDescent="0.35">
      <c r="A213" t="s">
        <v>63</v>
      </c>
      <c r="B213" t="s">
        <v>68</v>
      </c>
      <c r="C213" s="26">
        <v>0</v>
      </c>
      <c r="D213" s="25"/>
      <c r="E213" s="25">
        <f t="shared" si="35"/>
        <v>0</v>
      </c>
      <c r="G213" s="26">
        <v>-10737517.26</v>
      </c>
      <c r="H213" s="25"/>
      <c r="I213" s="25">
        <f t="shared" si="36"/>
        <v>-10737517.26</v>
      </c>
      <c r="J213" s="2"/>
      <c r="O213" s="26"/>
    </row>
    <row r="214" spans="1:15" hidden="1" x14ac:dyDescent="0.35">
      <c r="A214" t="s">
        <v>63</v>
      </c>
      <c r="B214" t="s">
        <v>69</v>
      </c>
      <c r="C214" s="26">
        <v>-2313661647.25</v>
      </c>
      <c r="D214" s="25"/>
      <c r="E214" s="25">
        <f t="shared" si="35"/>
        <v>-2313661647.25</v>
      </c>
      <c r="G214" s="26">
        <v>-2284602159.1300001</v>
      </c>
      <c r="H214" s="25"/>
      <c r="I214" s="25">
        <f t="shared" si="36"/>
        <v>-2284602159.1300001</v>
      </c>
      <c r="J214" s="2"/>
      <c r="O214" s="26"/>
    </row>
    <row r="215" spans="1:15" hidden="1" x14ac:dyDescent="0.35">
      <c r="A215" t="s">
        <v>63</v>
      </c>
      <c r="B215" t="s">
        <v>70</v>
      </c>
      <c r="C215" s="26">
        <v>139401544.38</v>
      </c>
      <c r="D215" s="25"/>
      <c r="E215" s="25">
        <f t="shared" si="35"/>
        <v>139401544.38</v>
      </c>
      <c r="G215" s="26">
        <f>-67972972.96-100000000</f>
        <v>-167972972.95999998</v>
      </c>
      <c r="H215" s="25"/>
      <c r="I215" s="25">
        <f t="shared" si="36"/>
        <v>-167972972.95999998</v>
      </c>
      <c r="J215" s="2"/>
      <c r="O215" s="26"/>
    </row>
    <row r="216" spans="1:15" hidden="1" x14ac:dyDescent="0.35">
      <c r="A216" t="s">
        <v>63</v>
      </c>
      <c r="B216" t="s">
        <v>71</v>
      </c>
      <c r="C216" s="26">
        <v>0</v>
      </c>
      <c r="D216" s="25"/>
      <c r="E216" s="25">
        <f t="shared" si="35"/>
        <v>0</v>
      </c>
      <c r="G216" s="26">
        <v>0</v>
      </c>
      <c r="H216" s="25"/>
      <c r="I216" s="25">
        <f t="shared" si="36"/>
        <v>0</v>
      </c>
      <c r="J216" s="2"/>
      <c r="O216" s="26"/>
    </row>
    <row r="217" spans="1:15" hidden="1" x14ac:dyDescent="0.35">
      <c r="A217" t="s">
        <v>63</v>
      </c>
      <c r="B217" t="s">
        <v>52</v>
      </c>
      <c r="C217" s="26">
        <v>-1616.29</v>
      </c>
      <c r="D217" s="25"/>
      <c r="E217" s="25">
        <f t="shared" ref="E217" si="37">C217-D217</f>
        <v>-1616.29</v>
      </c>
      <c r="G217" s="26">
        <v>-18858.45</v>
      </c>
      <c r="H217" s="25"/>
      <c r="I217" s="25">
        <f t="shared" ref="I217" si="38">G217-H217</f>
        <v>-18858.45</v>
      </c>
      <c r="J217" s="2"/>
      <c r="O217" s="26"/>
    </row>
    <row r="218" spans="1:15" hidden="1" x14ac:dyDescent="0.35">
      <c r="A218" t="s">
        <v>63</v>
      </c>
      <c r="B218" t="s">
        <v>659</v>
      </c>
      <c r="C218" s="26">
        <v>-355.59</v>
      </c>
      <c r="D218" s="25" t="e">
        <f>'RETA aruanne'!#REF!</f>
        <v>#REF!</v>
      </c>
      <c r="E218" s="25" t="e">
        <f t="shared" si="35"/>
        <v>#REF!</v>
      </c>
      <c r="G218" s="26">
        <v>-4148.8500000000004</v>
      </c>
      <c r="H218" s="25" t="e">
        <f>'RETA aruanne'!#REF!</f>
        <v>#REF!</v>
      </c>
      <c r="I218" s="25" t="e">
        <f t="shared" si="36"/>
        <v>#REF!</v>
      </c>
      <c r="J218" s="2"/>
      <c r="O218" s="26"/>
    </row>
    <row r="219" spans="1:15" hidden="1" x14ac:dyDescent="0.35">
      <c r="A219" t="s">
        <v>72</v>
      </c>
      <c r="B219" t="s">
        <v>6</v>
      </c>
      <c r="C219" s="142">
        <v>20005574.719999999</v>
      </c>
      <c r="D219" s="25" t="e">
        <f>'RETA aruanne'!#REF!</f>
        <v>#REF!</v>
      </c>
      <c r="E219" s="150" t="e">
        <f t="shared" ref="E219:E233" si="39">C219-D219</f>
        <v>#REF!</v>
      </c>
      <c r="G219" s="142">
        <v>13345753.41</v>
      </c>
      <c r="H219" s="25" t="e">
        <f>'RETA aruanne'!#REF!</f>
        <v>#REF!</v>
      </c>
      <c r="I219" s="25" t="e">
        <f t="shared" si="36"/>
        <v>#REF!</v>
      </c>
      <c r="J219" s="26"/>
      <c r="M219" s="142"/>
      <c r="N219" s="26"/>
      <c r="O219" s="26"/>
    </row>
    <row r="220" spans="1:15" hidden="1" x14ac:dyDescent="0.35">
      <c r="A220" t="s">
        <v>72</v>
      </c>
      <c r="B220" t="s">
        <v>7</v>
      </c>
      <c r="C220" s="142">
        <v>5073881.4400000004</v>
      </c>
      <c r="D220" s="25" t="e">
        <f>'RETA aruanne'!#REF!+'RETA aruanne'!#REF!</f>
        <v>#REF!</v>
      </c>
      <c r="E220" s="150" t="e">
        <f t="shared" si="39"/>
        <v>#REF!</v>
      </c>
      <c r="G220" s="142">
        <v>4711012.58</v>
      </c>
      <c r="H220" s="25" t="e">
        <f>'RETA aruanne'!#REF!+'RETA aruanne'!#REF!</f>
        <v>#REF!</v>
      </c>
      <c r="I220" s="25" t="e">
        <f t="shared" si="36"/>
        <v>#REF!</v>
      </c>
      <c r="J220" s="26"/>
      <c r="M220" s="142"/>
      <c r="N220" s="26"/>
      <c r="O220" s="26"/>
    </row>
    <row r="221" spans="1:15" hidden="1" x14ac:dyDescent="0.35">
      <c r="A221" t="s">
        <v>72</v>
      </c>
      <c r="B221" t="s">
        <v>5</v>
      </c>
      <c r="C221" s="142">
        <v>47064224.43</v>
      </c>
      <c r="D221" s="25" t="e">
        <f>'RETA aruanne'!#REF!+'RETA aruanne'!#REF!+'RETA aruanne'!#REF!+'RETA aruanne'!#REF!</f>
        <v>#REF!</v>
      </c>
      <c r="E221" s="150" t="e">
        <f t="shared" si="39"/>
        <v>#REF!</v>
      </c>
      <c r="G221" s="142">
        <v>22470113.289999999</v>
      </c>
      <c r="H221" s="25" t="e">
        <f>'RETA aruanne'!#REF!+'RETA aruanne'!#REF!+'RETA aruanne'!#REF!+'RETA aruanne'!#REF!</f>
        <v>#REF!</v>
      </c>
      <c r="I221" s="25" t="e">
        <f t="shared" si="36"/>
        <v>#REF!</v>
      </c>
      <c r="J221" s="26"/>
      <c r="M221" s="142"/>
      <c r="N221" s="26"/>
      <c r="O221" s="26"/>
    </row>
    <row r="222" spans="1:15" hidden="1" x14ac:dyDescent="0.35">
      <c r="A222" t="s">
        <v>72</v>
      </c>
      <c r="B222" t="s">
        <v>799</v>
      </c>
      <c r="C222" s="142">
        <v>11367.59</v>
      </c>
      <c r="D222" s="25" t="e">
        <f>'RETA aruanne'!#REF!</f>
        <v>#REF!</v>
      </c>
      <c r="E222" s="150" t="e">
        <f t="shared" si="39"/>
        <v>#REF!</v>
      </c>
      <c r="G222" s="142">
        <v>13034.26</v>
      </c>
      <c r="H222" s="25" t="e">
        <f>'RETA aruanne'!#REF!</f>
        <v>#REF!</v>
      </c>
      <c r="I222" s="25" t="e">
        <f t="shared" si="36"/>
        <v>#REF!</v>
      </c>
      <c r="J222" s="26"/>
      <c r="M222" s="142"/>
      <c r="N222" s="26"/>
      <c r="O222" s="26"/>
    </row>
    <row r="223" spans="1:15" hidden="1" x14ac:dyDescent="0.35">
      <c r="A223" t="s">
        <v>72</v>
      </c>
      <c r="B223" t="s">
        <v>9</v>
      </c>
      <c r="C223" s="142">
        <v>35815299.770000003</v>
      </c>
      <c r="D223" s="25" t="e">
        <f>'RETA aruanne'!#REF!+'RETA aruanne'!#REF!</f>
        <v>#REF!</v>
      </c>
      <c r="E223" s="150" t="e">
        <f t="shared" si="39"/>
        <v>#REF!</v>
      </c>
      <c r="G223" s="142">
        <v>23560870.100000001</v>
      </c>
      <c r="H223" s="25" t="e">
        <f>'RETA aruanne'!#REF!+'RETA aruanne'!#REF!</f>
        <v>#REF!</v>
      </c>
      <c r="I223" s="25" t="e">
        <f t="shared" si="36"/>
        <v>#REF!</v>
      </c>
      <c r="J223" s="26"/>
      <c r="M223" s="142"/>
      <c r="N223" s="26"/>
      <c r="O223" s="26"/>
    </row>
    <row r="224" spans="1:15" hidden="1" x14ac:dyDescent="0.35">
      <c r="A224" t="s">
        <v>72</v>
      </c>
      <c r="B224" t="s">
        <v>720</v>
      </c>
      <c r="C224" s="142">
        <v>1225819.3999999999</v>
      </c>
      <c r="D224" s="25" t="e">
        <f>'RETA aruanne'!#REF!</f>
        <v>#REF!</v>
      </c>
      <c r="E224" s="150" t="e">
        <f t="shared" si="39"/>
        <v>#REF!</v>
      </c>
      <c r="G224" s="142">
        <f>997949.53+266.21</f>
        <v>998215.74</v>
      </c>
      <c r="H224" s="25" t="e">
        <f>'RETA aruanne'!#REF!</f>
        <v>#REF!</v>
      </c>
      <c r="I224" s="25" t="e">
        <f t="shared" si="36"/>
        <v>#REF!</v>
      </c>
      <c r="J224" s="26"/>
      <c r="M224" s="142"/>
      <c r="N224" s="26"/>
      <c r="O224" s="26"/>
    </row>
    <row r="225" spans="1:15" hidden="1" x14ac:dyDescent="0.35">
      <c r="A225" t="s">
        <v>72</v>
      </c>
      <c r="B225" t="s">
        <v>49</v>
      </c>
      <c r="C225" s="142">
        <f>891021.37</f>
        <v>891021.37</v>
      </c>
      <c r="D225" s="25"/>
      <c r="E225" s="150">
        <f t="shared" si="39"/>
        <v>891021.37</v>
      </c>
      <c r="G225" s="142">
        <v>1051509.1200000001</v>
      </c>
      <c r="H225" s="25"/>
      <c r="I225" s="25">
        <f t="shared" si="36"/>
        <v>1051509.1200000001</v>
      </c>
      <c r="J225" s="26"/>
      <c r="M225" s="142"/>
      <c r="N225" s="26"/>
      <c r="O225" s="26"/>
    </row>
    <row r="226" spans="1:15" hidden="1" x14ac:dyDescent="0.35">
      <c r="A226" t="s">
        <v>72</v>
      </c>
      <c r="B226" t="s">
        <v>41</v>
      </c>
      <c r="D226" s="25"/>
      <c r="E226" s="150">
        <f t="shared" si="39"/>
        <v>0</v>
      </c>
      <c r="G226" s="142">
        <v>0</v>
      </c>
      <c r="H226" s="25"/>
      <c r="I226" s="25">
        <f t="shared" si="36"/>
        <v>0</v>
      </c>
      <c r="M226" s="142"/>
      <c r="N226" s="26"/>
      <c r="O226" s="26"/>
    </row>
    <row r="227" spans="1:15" hidden="1" x14ac:dyDescent="0.35">
      <c r="A227" t="s">
        <v>72</v>
      </c>
      <c r="B227" t="s">
        <v>796</v>
      </c>
      <c r="C227" s="142">
        <f>-607690702.21-C230-C233</f>
        <v>-565544534.63</v>
      </c>
      <c r="D227" s="25" t="e">
        <f>'RETA aruanne'!#REF!+'RETA aruanne'!#REF!+'RETA aruanne'!#REF!+'RETA aruanne'!#REF!+'RETA aruanne'!#REF!+'RETA aruanne'!#REF!+'RETA aruanne'!#REF!+'RETA aruanne'!#REF!-'RETA aruanne'!#REF!+'RETA aruanne'!#REF!</f>
        <v>#REF!</v>
      </c>
      <c r="E227" s="150" t="e">
        <f t="shared" si="39"/>
        <v>#REF!</v>
      </c>
      <c r="G227" s="142">
        <f>-617118025.44-G230-G233</f>
        <v>-584722802.5200001</v>
      </c>
      <c r="H227" s="25" t="e">
        <f>'RETA aruanne'!#REF!+'RETA aruanne'!#REF!+'RETA aruanne'!#REF!+'RETA aruanne'!#REF!+'RETA aruanne'!#REF!+'RETA aruanne'!#REF!+'RETA aruanne'!#REF!+'RETA aruanne'!#REF!-'RETA aruanne'!#REF!+'RETA aruanne'!#REF!</f>
        <v>#REF!</v>
      </c>
      <c r="I227" s="25" t="e">
        <f t="shared" si="36"/>
        <v>#REF!</v>
      </c>
      <c r="M227" s="142"/>
      <c r="N227" s="26"/>
      <c r="O227" s="26"/>
    </row>
    <row r="228" spans="1:15" hidden="1" x14ac:dyDescent="0.35">
      <c r="A228" t="s">
        <v>72</v>
      </c>
      <c r="B228" t="s">
        <v>50</v>
      </c>
      <c r="C228" s="142">
        <f>-21295.28-869726.09</f>
        <v>-891021.37</v>
      </c>
      <c r="D228" s="25"/>
      <c r="E228" s="150">
        <f t="shared" si="39"/>
        <v>-891021.37</v>
      </c>
      <c r="G228" s="142">
        <v>-1051509.1200000001</v>
      </c>
      <c r="H228" s="25"/>
      <c r="I228" s="25">
        <f t="shared" si="36"/>
        <v>-1051509.1200000001</v>
      </c>
      <c r="M228" s="142"/>
      <c r="N228" s="26"/>
      <c r="O228" s="26"/>
    </row>
    <row r="229" spans="1:15" hidden="1" x14ac:dyDescent="0.35">
      <c r="A229" t="s">
        <v>72</v>
      </c>
      <c r="B229" t="s">
        <v>42</v>
      </c>
      <c r="D229" s="25" t="e">
        <f>'RETA aruanne'!#REF!</f>
        <v>#REF!</v>
      </c>
      <c r="E229" s="150" t="e">
        <f t="shared" si="39"/>
        <v>#REF!</v>
      </c>
      <c r="G229" s="142">
        <v>-45442152</v>
      </c>
      <c r="H229" s="25" t="e">
        <f>'RETA aruanne'!#REF!</f>
        <v>#REF!</v>
      </c>
      <c r="I229" s="25" t="e">
        <f t="shared" si="36"/>
        <v>#REF!</v>
      </c>
      <c r="M229" s="142"/>
      <c r="N229" s="26"/>
      <c r="O229" s="26"/>
    </row>
    <row r="230" spans="1:15" hidden="1" x14ac:dyDescent="0.35">
      <c r="A230" t="s">
        <v>72</v>
      </c>
      <c r="B230" s="28" t="s">
        <v>657</v>
      </c>
      <c r="C230" s="142">
        <v>-27142977.739999998</v>
      </c>
      <c r="D230" s="25" t="e">
        <f>'RETA aruanne'!#REF!</f>
        <v>#REF!</v>
      </c>
      <c r="E230" s="150" t="e">
        <f t="shared" si="39"/>
        <v>#REF!</v>
      </c>
      <c r="F230" s="29"/>
      <c r="G230" s="142">
        <v>-24164805.030000001</v>
      </c>
      <c r="H230" s="25" t="e">
        <f>'RETA aruanne'!#REF!</f>
        <v>#REF!</v>
      </c>
      <c r="I230" s="25" t="e">
        <f t="shared" si="36"/>
        <v>#REF!</v>
      </c>
      <c r="M230" s="142"/>
      <c r="N230" s="26"/>
      <c r="O230" s="26"/>
    </row>
    <row r="231" spans="1:15" hidden="1" x14ac:dyDescent="0.35">
      <c r="A231" t="s">
        <v>72</v>
      </c>
      <c r="B231" s="28" t="s">
        <v>25</v>
      </c>
      <c r="C231" s="142">
        <f>-56010890.41+449773.19-11644573.34</f>
        <v>-67205690.560000002</v>
      </c>
      <c r="D231" s="25" t="e">
        <f>'RETA aruanne'!#REF!-'RETA aruanne'!#REF!+'RETA aruanne'!#REF!</f>
        <v>#REF!</v>
      </c>
      <c r="E231" s="150" t="e">
        <f t="shared" si="39"/>
        <v>#REF!</v>
      </c>
      <c r="F231" s="29"/>
      <c r="G231" s="142">
        <f>-41500688.65+854550</f>
        <v>-40646138.649999999</v>
      </c>
      <c r="H231" s="25" t="e">
        <f>'RETA aruanne'!#REF!-'RETA aruanne'!#REF!+'RETA aruanne'!#REF!</f>
        <v>#REF!</v>
      </c>
      <c r="I231" s="25" t="e">
        <f t="shared" si="36"/>
        <v>#REF!</v>
      </c>
      <c r="M231" s="142"/>
      <c r="N231" s="26"/>
      <c r="O231" s="26"/>
    </row>
    <row r="232" spans="1:15" hidden="1" x14ac:dyDescent="0.35">
      <c r="A232" t="s">
        <v>72</v>
      </c>
      <c r="B232" t="s">
        <v>51</v>
      </c>
      <c r="C232" s="142">
        <f>213815.94-449773.19</f>
        <v>-235957.25</v>
      </c>
      <c r="D232" s="25"/>
      <c r="E232" s="150">
        <f t="shared" ref="E232" si="40">C232-D232</f>
        <v>-235957.25</v>
      </c>
      <c r="G232" s="142">
        <f>1542980+60822+388951.19-854550</f>
        <v>1138203.19</v>
      </c>
      <c r="H232" s="25"/>
      <c r="I232" s="25">
        <f t="shared" ref="I232" si="41">G232-H232</f>
        <v>1138203.19</v>
      </c>
      <c r="M232" s="142"/>
      <c r="N232" s="26"/>
      <c r="O232" s="26"/>
    </row>
    <row r="233" spans="1:15" hidden="1" x14ac:dyDescent="0.35">
      <c r="A233" t="s">
        <v>72</v>
      </c>
      <c r="B233" s="28" t="s">
        <v>794</v>
      </c>
      <c r="C233" s="142">
        <v>-15003189.84</v>
      </c>
      <c r="D233" s="25" t="e">
        <f>'RETA aruanne'!#REF!</f>
        <v>#REF!</v>
      </c>
      <c r="E233" s="150" t="e">
        <f t="shared" si="39"/>
        <v>#REF!</v>
      </c>
      <c r="G233" s="142">
        <v>-8230417.8899999997</v>
      </c>
      <c r="H233" s="25" t="e">
        <f>'RETA aruanne'!#REF!</f>
        <v>#REF!</v>
      </c>
      <c r="I233" s="25" t="e">
        <f t="shared" si="36"/>
        <v>#REF!</v>
      </c>
      <c r="M233" s="142"/>
      <c r="N233" s="26"/>
      <c r="O233" s="26"/>
    </row>
    <row r="234" spans="1:15" hidden="1" x14ac:dyDescent="0.35">
      <c r="A234" t="s">
        <v>73</v>
      </c>
      <c r="B234" s="28" t="s">
        <v>4</v>
      </c>
      <c r="C234" s="142">
        <v>5401949107.3000002</v>
      </c>
      <c r="D234" s="25" t="e">
        <f>'RETA aruanne'!#REF!</f>
        <v>#REF!</v>
      </c>
      <c r="E234" s="25" t="e">
        <f t="shared" ref="E234:E263" si="42">C234-D234</f>
        <v>#REF!</v>
      </c>
      <c r="G234" s="142">
        <v>5069212834.3299999</v>
      </c>
      <c r="H234" s="25" t="e">
        <f>'RETA aruanne'!#REF!</f>
        <v>#REF!</v>
      </c>
      <c r="I234" s="25" t="e">
        <f t="shared" si="36"/>
        <v>#REF!</v>
      </c>
      <c r="M234" s="142"/>
      <c r="N234" s="26"/>
      <c r="O234" s="26"/>
    </row>
    <row r="235" spans="1:15" hidden="1" x14ac:dyDescent="0.35">
      <c r="A235" t="s">
        <v>73</v>
      </c>
      <c r="B235" t="s">
        <v>6</v>
      </c>
      <c r="C235" s="142">
        <v>856651.67</v>
      </c>
      <c r="D235" s="25" t="e">
        <f>'RETA aruanne'!#REF!</f>
        <v>#REF!</v>
      </c>
      <c r="E235" s="25" t="e">
        <f t="shared" si="42"/>
        <v>#REF!</v>
      </c>
      <c r="G235" s="142">
        <v>322835.57</v>
      </c>
      <c r="H235" s="25" t="e">
        <f>'RETA aruanne'!#REF!</f>
        <v>#REF!</v>
      </c>
      <c r="I235" s="25" t="e">
        <f t="shared" si="36"/>
        <v>#REF!</v>
      </c>
      <c r="J235" s="26"/>
      <c r="O235" s="26"/>
    </row>
    <row r="236" spans="1:15" hidden="1" x14ac:dyDescent="0.35">
      <c r="A236" t="s">
        <v>73</v>
      </c>
      <c r="B236" t="s">
        <v>7</v>
      </c>
      <c r="C236" s="142">
        <v>7838910.0199999996</v>
      </c>
      <c r="D236" s="25" t="e">
        <f>'RETA aruanne'!#REF!+'RETA aruanne'!#REF!</f>
        <v>#REF!</v>
      </c>
      <c r="E236" s="25" t="e">
        <f t="shared" si="42"/>
        <v>#REF!</v>
      </c>
      <c r="G236" s="142">
        <v>6900474.3899999997</v>
      </c>
      <c r="H236" s="25" t="e">
        <f>'RETA aruanne'!#REF!+'RETA aruanne'!#REF!</f>
        <v>#REF!</v>
      </c>
      <c r="I236" s="25" t="e">
        <f t="shared" si="36"/>
        <v>#REF!</v>
      </c>
      <c r="J236" s="26"/>
      <c r="O236" s="26"/>
    </row>
    <row r="237" spans="1:15" hidden="1" x14ac:dyDescent="0.35">
      <c r="A237" t="s">
        <v>73</v>
      </c>
      <c r="B237" t="s">
        <v>5</v>
      </c>
      <c r="C237" s="142">
        <v>63008944.439999998</v>
      </c>
      <c r="D237" s="25" t="e">
        <f>'RETA aruanne'!#REF!+'RETA aruanne'!#REF!+'RETA aruanne'!#REF!</f>
        <v>#REF!</v>
      </c>
      <c r="E237" s="25" t="e">
        <f t="shared" si="42"/>
        <v>#REF!</v>
      </c>
      <c r="G237" s="142">
        <v>58798482.490000002</v>
      </c>
      <c r="H237" s="25" t="e">
        <f>'RETA aruanne'!#REF!+'RETA aruanne'!#REF!+'RETA aruanne'!#REF!</f>
        <v>#REF!</v>
      </c>
      <c r="I237" s="25" t="e">
        <f t="shared" si="36"/>
        <v>#REF!</v>
      </c>
      <c r="J237" s="26"/>
      <c r="O237" s="26"/>
    </row>
    <row r="238" spans="1:15" hidden="1" x14ac:dyDescent="0.35">
      <c r="A238" t="s">
        <v>73</v>
      </c>
      <c r="B238" t="s">
        <v>799</v>
      </c>
      <c r="C238" s="142">
        <v>8800</v>
      </c>
      <c r="D238" s="25" t="e">
        <f>'RETA aruanne'!#REF!</f>
        <v>#REF!</v>
      </c>
      <c r="E238" s="25" t="e">
        <f t="shared" si="42"/>
        <v>#REF!</v>
      </c>
      <c r="G238" s="142"/>
      <c r="H238" s="25" t="e">
        <f>'RETA aruanne'!#REF!</f>
        <v>#REF!</v>
      </c>
      <c r="I238" s="25" t="e">
        <f t="shared" si="36"/>
        <v>#REF!</v>
      </c>
      <c r="J238" s="26"/>
      <c r="O238" s="26"/>
    </row>
    <row r="239" spans="1:15" hidden="1" x14ac:dyDescent="0.35">
      <c r="A239" t="s">
        <v>73</v>
      </c>
      <c r="B239" t="s">
        <v>9</v>
      </c>
      <c r="C239" s="142">
        <v>16915.89</v>
      </c>
      <c r="D239" s="25" t="e">
        <f>'RETA aruanne'!#REF!</f>
        <v>#REF!</v>
      </c>
      <c r="E239" s="25" t="e">
        <f t="shared" si="42"/>
        <v>#REF!</v>
      </c>
      <c r="G239" s="142">
        <v>7947.2</v>
      </c>
      <c r="H239" s="25" t="e">
        <f>'RETA aruanne'!#REF!</f>
        <v>#REF!</v>
      </c>
      <c r="I239" s="25" t="e">
        <f t="shared" si="36"/>
        <v>#REF!</v>
      </c>
      <c r="J239" s="26"/>
      <c r="O239" s="26"/>
    </row>
    <row r="240" spans="1:15" hidden="1" x14ac:dyDescent="0.35">
      <c r="A240" t="s">
        <v>73</v>
      </c>
      <c r="B240" t="s">
        <v>720</v>
      </c>
      <c r="C240" s="142">
        <v>999595.89</v>
      </c>
      <c r="D240" s="25" t="e">
        <f>'RETA aruanne'!#REF!</f>
        <v>#REF!</v>
      </c>
      <c r="E240" s="25" t="e">
        <f t="shared" si="42"/>
        <v>#REF!</v>
      </c>
      <c r="G240" s="142">
        <f>695468.55+460.38</f>
        <v>695928.93</v>
      </c>
      <c r="H240" s="25" t="e">
        <f>'RETA aruanne'!#REF!</f>
        <v>#REF!</v>
      </c>
      <c r="I240" s="25" t="e">
        <f t="shared" si="36"/>
        <v>#REF!</v>
      </c>
      <c r="J240" s="26"/>
      <c r="O240" s="26"/>
    </row>
    <row r="241" spans="1:15" hidden="1" x14ac:dyDescent="0.35">
      <c r="A241" t="s">
        <v>73</v>
      </c>
      <c r="B241" t="s">
        <v>49</v>
      </c>
      <c r="C241" s="142">
        <v>11079.85</v>
      </c>
      <c r="D241" s="25"/>
      <c r="E241" s="25">
        <f t="shared" si="42"/>
        <v>11079.85</v>
      </c>
      <c r="G241" s="142">
        <v>0</v>
      </c>
      <c r="H241" s="25"/>
      <c r="I241" s="25">
        <f t="shared" si="36"/>
        <v>0</v>
      </c>
      <c r="J241" s="26"/>
      <c r="O241" s="26"/>
    </row>
    <row r="242" spans="1:15" hidden="1" x14ac:dyDescent="0.35">
      <c r="A242" t="s">
        <v>73</v>
      </c>
      <c r="B242" t="s">
        <v>41</v>
      </c>
      <c r="C242" s="142">
        <v>7575.63</v>
      </c>
      <c r="D242" s="25" t="e">
        <f>'RETA aruanne'!#REF!</f>
        <v>#REF!</v>
      </c>
      <c r="E242" s="25" t="e">
        <f t="shared" si="42"/>
        <v>#REF!</v>
      </c>
      <c r="G242" s="142">
        <v>9436.91</v>
      </c>
      <c r="H242" s="25" t="e">
        <f>'RETA aruanne'!#REF!</f>
        <v>#REF!</v>
      </c>
      <c r="I242" s="25" t="e">
        <f t="shared" si="36"/>
        <v>#REF!</v>
      </c>
      <c r="O242" s="26"/>
    </row>
    <row r="243" spans="1:15" hidden="1" x14ac:dyDescent="0.35">
      <c r="A243" t="s">
        <v>73</v>
      </c>
      <c r="B243" t="s">
        <v>796</v>
      </c>
      <c r="C243" s="142">
        <f>-7263500329.92-C246-C248</f>
        <v>-7253554434.6899996</v>
      </c>
      <c r="D243" s="25" t="e">
        <f>'RETA aruanne'!#REF!+'RETA aruanne'!#REF!+'RETA aruanne'!#REF!+'RETA aruanne'!#REF!+'RETA aruanne'!#REF!+'RETA aruanne'!#REF!+'RETA aruanne'!#REF!-'RETA aruanne'!#REF!</f>
        <v>#REF!</v>
      </c>
      <c r="E243" s="25" t="e">
        <f t="shared" si="42"/>
        <v>#REF!</v>
      </c>
      <c r="G243" s="142">
        <f>-6997658558.78-G246-G248</f>
        <v>-6987564827.6599998</v>
      </c>
      <c r="H243" s="25" t="e">
        <f>'RETA aruanne'!#REF!+'RETA aruanne'!#REF!+'RETA aruanne'!#REF!+'RETA aruanne'!#REF!+'RETA aruanne'!#REF!+'RETA aruanne'!#REF!+'RETA aruanne'!#REF!-'RETA aruanne'!#REF!</f>
        <v>#REF!</v>
      </c>
      <c r="I243" s="25" t="e">
        <f t="shared" si="36"/>
        <v>#REF!</v>
      </c>
      <c r="O243" s="26"/>
    </row>
    <row r="244" spans="1:15" hidden="1" x14ac:dyDescent="0.35">
      <c r="A244" t="s">
        <v>73</v>
      </c>
      <c r="B244" t="s">
        <v>50</v>
      </c>
      <c r="C244" s="142">
        <v>-11079.85</v>
      </c>
      <c r="D244" s="25"/>
      <c r="E244" s="25">
        <f t="shared" si="42"/>
        <v>-11079.85</v>
      </c>
      <c r="G244" s="142">
        <v>0</v>
      </c>
      <c r="H244" s="25"/>
      <c r="I244" s="25">
        <f t="shared" si="36"/>
        <v>0</v>
      </c>
      <c r="O244" s="26"/>
    </row>
    <row r="245" spans="1:15" hidden="1" x14ac:dyDescent="0.35">
      <c r="A245" t="s">
        <v>73</v>
      </c>
      <c r="B245" t="s">
        <v>42</v>
      </c>
      <c r="D245" s="25" t="e">
        <f>'RETA aruanne'!#REF!</f>
        <v>#REF!</v>
      </c>
      <c r="E245" s="25" t="e">
        <f t="shared" si="42"/>
        <v>#REF!</v>
      </c>
      <c r="G245" s="142">
        <v>-97621136</v>
      </c>
      <c r="H245" s="25" t="e">
        <f>'RETA aruanne'!#REF!</f>
        <v>#REF!</v>
      </c>
      <c r="I245" s="25" t="e">
        <f t="shared" si="36"/>
        <v>#REF!</v>
      </c>
      <c r="O245" s="26"/>
    </row>
    <row r="246" spans="1:15" hidden="1" x14ac:dyDescent="0.35">
      <c r="A246" t="s">
        <v>73</v>
      </c>
      <c r="B246" s="28" t="s">
        <v>657</v>
      </c>
      <c r="C246" s="142">
        <v>-6207706.8899999997</v>
      </c>
      <c r="D246" s="25" t="e">
        <f>'RETA aruanne'!#REF!</f>
        <v>#REF!</v>
      </c>
      <c r="E246" s="25" t="e">
        <f t="shared" si="42"/>
        <v>#REF!</v>
      </c>
      <c r="F246" s="29"/>
      <c r="G246" s="142">
        <v>-7144115.4800000004</v>
      </c>
      <c r="H246" s="25" t="e">
        <f>'RETA aruanne'!#REF!</f>
        <v>#REF!</v>
      </c>
      <c r="I246" s="25" t="e">
        <f t="shared" si="36"/>
        <v>#REF!</v>
      </c>
      <c r="O246" s="26"/>
    </row>
    <row r="247" spans="1:15" hidden="1" x14ac:dyDescent="0.35">
      <c r="A247" t="s">
        <v>73</v>
      </c>
      <c r="B247" s="28" t="s">
        <v>25</v>
      </c>
      <c r="C247" s="142">
        <f>-343274.39-15884928.25</f>
        <v>-16228202.640000001</v>
      </c>
      <c r="D247" s="25" t="e">
        <f>'RETA aruanne'!#REF!-D248</f>
        <v>#REF!</v>
      </c>
      <c r="E247" s="25" t="e">
        <f t="shared" si="42"/>
        <v>#REF!</v>
      </c>
      <c r="F247" s="29"/>
      <c r="G247" s="142">
        <v>-13759761.49</v>
      </c>
      <c r="H247" s="25" t="e">
        <f>'RETA aruanne'!#REF!-'RETA aruanne'!#REF!</f>
        <v>#REF!</v>
      </c>
      <c r="I247" s="25" t="e">
        <f t="shared" si="36"/>
        <v>#REF!</v>
      </c>
      <c r="O247" s="26"/>
    </row>
    <row r="248" spans="1:15" hidden="1" x14ac:dyDescent="0.35">
      <c r="A248" t="s">
        <v>73</v>
      </c>
      <c r="B248" s="28" t="s">
        <v>794</v>
      </c>
      <c r="C248" s="142">
        <v>-3738188.34</v>
      </c>
      <c r="D248" s="25" t="e">
        <f>'RETA aruanne'!#REF!</f>
        <v>#REF!</v>
      </c>
      <c r="E248" s="25" t="e">
        <f t="shared" si="42"/>
        <v>#REF!</v>
      </c>
      <c r="F248" s="29"/>
      <c r="G248" s="142">
        <v>-2949615.64</v>
      </c>
      <c r="H248" s="25" t="e">
        <f>'RETA aruanne'!#REF!</f>
        <v>#REF!</v>
      </c>
      <c r="I248" s="25" t="e">
        <f t="shared" si="36"/>
        <v>#REF!</v>
      </c>
      <c r="O248" s="26"/>
    </row>
    <row r="249" spans="1:15" hidden="1" x14ac:dyDescent="0.35">
      <c r="A249" t="s">
        <v>73</v>
      </c>
      <c r="B249" t="s">
        <v>51</v>
      </c>
      <c r="D249" s="25">
        <v>0</v>
      </c>
      <c r="E249" s="25">
        <f t="shared" si="42"/>
        <v>0</v>
      </c>
      <c r="G249" s="142"/>
      <c r="H249" s="25">
        <v>0</v>
      </c>
      <c r="I249" s="25">
        <f t="shared" si="36"/>
        <v>0</v>
      </c>
      <c r="O249" s="26"/>
    </row>
    <row r="250" spans="1:15" hidden="1" x14ac:dyDescent="0.35">
      <c r="A250" t="s">
        <v>74</v>
      </c>
      <c r="B250" t="s">
        <v>6</v>
      </c>
      <c r="C250" s="142">
        <v>1449357.86</v>
      </c>
      <c r="D250" s="25" t="e">
        <f>'RETA aruanne'!#REF!</f>
        <v>#REF!</v>
      </c>
      <c r="E250" s="25" t="e">
        <f t="shared" si="42"/>
        <v>#REF!</v>
      </c>
      <c r="G250" s="142">
        <v>1285854.03</v>
      </c>
      <c r="H250" s="25" t="e">
        <f>'RETA aruanne'!#REF!</f>
        <v>#REF!</v>
      </c>
      <c r="I250" s="25" t="e">
        <f t="shared" si="36"/>
        <v>#REF!</v>
      </c>
      <c r="O250" s="26"/>
    </row>
    <row r="251" spans="1:15" hidden="1" x14ac:dyDescent="0.35">
      <c r="A251" t="s">
        <v>74</v>
      </c>
      <c r="B251" t="s">
        <v>7</v>
      </c>
      <c r="C251" s="142">
        <v>5934.05</v>
      </c>
      <c r="D251" s="25" t="e">
        <f>'RETA aruanne'!#REF!+'RETA aruanne'!#REF!</f>
        <v>#REF!</v>
      </c>
      <c r="E251" s="25" t="e">
        <f t="shared" si="42"/>
        <v>#REF!</v>
      </c>
      <c r="G251" s="142">
        <v>4428.75</v>
      </c>
      <c r="H251" s="25" t="e">
        <f>'RETA aruanne'!#REF!</f>
        <v>#REF!</v>
      </c>
      <c r="I251" s="25" t="e">
        <f t="shared" si="36"/>
        <v>#REF!</v>
      </c>
      <c r="O251" s="26"/>
    </row>
    <row r="252" spans="1:15" hidden="1" x14ac:dyDescent="0.35">
      <c r="A252" t="s">
        <v>74</v>
      </c>
      <c r="B252" t="s">
        <v>5</v>
      </c>
      <c r="C252" s="142">
        <v>12725553.800000001</v>
      </c>
      <c r="D252" s="25" t="e">
        <f>'RETA aruanne'!#REF!+'RETA aruanne'!#REF!</f>
        <v>#REF!</v>
      </c>
      <c r="E252" s="25" t="e">
        <f t="shared" si="42"/>
        <v>#REF!</v>
      </c>
      <c r="G252" s="142">
        <v>9029202.0099999998</v>
      </c>
      <c r="H252" s="25" t="e">
        <f>'RETA aruanne'!#REF!+'RETA aruanne'!#REF!</f>
        <v>#REF!</v>
      </c>
      <c r="I252" s="25" t="e">
        <f t="shared" si="36"/>
        <v>#REF!</v>
      </c>
      <c r="O252" s="26"/>
    </row>
    <row r="253" spans="1:15" hidden="1" x14ac:dyDescent="0.35">
      <c r="A253" t="s">
        <v>74</v>
      </c>
      <c r="B253" t="s">
        <v>799</v>
      </c>
      <c r="D253" s="25" t="e">
        <f>'RETA aruanne'!#REF!</f>
        <v>#REF!</v>
      </c>
      <c r="E253" s="25" t="e">
        <f t="shared" si="42"/>
        <v>#REF!</v>
      </c>
      <c r="G253" s="142">
        <v>0</v>
      </c>
      <c r="H253" s="25" t="e">
        <f>'RETA aruanne'!#REF!</f>
        <v>#REF!</v>
      </c>
      <c r="I253" s="25" t="e">
        <f t="shared" si="36"/>
        <v>#REF!</v>
      </c>
      <c r="O253" s="26"/>
    </row>
    <row r="254" spans="1:15" hidden="1" x14ac:dyDescent="0.35">
      <c r="A254" t="s">
        <v>74</v>
      </c>
      <c r="B254" t="s">
        <v>9</v>
      </c>
      <c r="C254" s="142">
        <v>34302.6</v>
      </c>
      <c r="D254" s="25" t="e">
        <f>'RETA aruanne'!#REF!</f>
        <v>#REF!</v>
      </c>
      <c r="E254" s="25" t="e">
        <f t="shared" si="42"/>
        <v>#REF!</v>
      </c>
      <c r="G254" s="142"/>
      <c r="H254" s="25"/>
      <c r="I254" s="25"/>
      <c r="O254" s="26"/>
    </row>
    <row r="255" spans="1:15" hidden="1" x14ac:dyDescent="0.35">
      <c r="A255" t="s">
        <v>74</v>
      </c>
      <c r="B255" t="s">
        <v>720</v>
      </c>
      <c r="C255" s="142">
        <f>434646.48</f>
        <v>434646.48</v>
      </c>
      <c r="D255" s="25" t="e">
        <f>'RETA aruanne'!#REF!</f>
        <v>#REF!</v>
      </c>
      <c r="E255" s="25" t="e">
        <f t="shared" si="42"/>
        <v>#REF!</v>
      </c>
      <c r="G255" s="142">
        <v>643162.63</v>
      </c>
      <c r="H255" s="25" t="e">
        <f>'RETA aruanne'!#REF!</f>
        <v>#REF!</v>
      </c>
      <c r="I255" s="25" t="e">
        <f t="shared" si="36"/>
        <v>#REF!</v>
      </c>
      <c r="O255" s="26"/>
    </row>
    <row r="256" spans="1:15" hidden="1" x14ac:dyDescent="0.35">
      <c r="A256" t="s">
        <v>74</v>
      </c>
      <c r="B256" t="s">
        <v>41</v>
      </c>
      <c r="C256" s="142">
        <v>-74365.820000000007</v>
      </c>
      <c r="D256" s="25" t="e">
        <f>'RETA aruanne'!#REF!</f>
        <v>#REF!</v>
      </c>
      <c r="E256" s="25" t="e">
        <f t="shared" si="42"/>
        <v>#REF!</v>
      </c>
      <c r="G256" s="142">
        <v>14723.48</v>
      </c>
      <c r="H256" s="25" t="e">
        <f>'RETA aruanne'!#REF!</f>
        <v>#REF!</v>
      </c>
      <c r="I256" s="25" t="e">
        <f t="shared" si="36"/>
        <v>#REF!</v>
      </c>
      <c r="O256" s="26"/>
    </row>
    <row r="257" spans="1:15" hidden="1" x14ac:dyDescent="0.35">
      <c r="A257" t="s">
        <v>74</v>
      </c>
      <c r="B257" t="s">
        <v>796</v>
      </c>
      <c r="C257" s="142">
        <f>-124436946.87-C259-C262</f>
        <v>-122099458.78</v>
      </c>
      <c r="D257" s="25" t="e">
        <f>'RETA aruanne'!#REF!-'RETA aruanne'!#REF!+'RETA aruanne'!#REF!</f>
        <v>#REF!</v>
      </c>
      <c r="E257" s="25" t="e">
        <f t="shared" si="42"/>
        <v>#REF!</v>
      </c>
      <c r="G257" s="142">
        <f>-118593144.23-G259-G262</f>
        <v>-116781024.53000002</v>
      </c>
      <c r="H257" s="25" t="e">
        <f>'RETA aruanne'!#REF!-'RETA aruanne'!#REF!</f>
        <v>#REF!</v>
      </c>
      <c r="I257" s="25" t="e">
        <f t="shared" si="36"/>
        <v>#REF!</v>
      </c>
      <c r="O257" s="26"/>
    </row>
    <row r="258" spans="1:15" hidden="1" x14ac:dyDescent="0.35">
      <c r="A258" t="s">
        <v>74</v>
      </c>
      <c r="B258" t="s">
        <v>42</v>
      </c>
      <c r="D258" s="25"/>
      <c r="E258" s="25">
        <f t="shared" si="42"/>
        <v>0</v>
      </c>
      <c r="G258" s="142"/>
      <c r="H258" s="25"/>
      <c r="I258" s="25">
        <f t="shared" si="36"/>
        <v>0</v>
      </c>
      <c r="O258" s="26"/>
    </row>
    <row r="259" spans="1:15" hidden="1" x14ac:dyDescent="0.35">
      <c r="A259" t="s">
        <v>74</v>
      </c>
      <c r="B259" s="28" t="s">
        <v>657</v>
      </c>
      <c r="C259" s="142">
        <v>-1385623.16</v>
      </c>
      <c r="D259" s="25" t="e">
        <f>'RETA aruanne'!#REF!</f>
        <v>#REF!</v>
      </c>
      <c r="E259" s="25" t="e">
        <f t="shared" si="42"/>
        <v>#REF!</v>
      </c>
      <c r="F259" s="29"/>
      <c r="G259" s="142">
        <v>-1351349.35</v>
      </c>
      <c r="H259" s="25" t="e">
        <f>'RETA aruanne'!#REF!</f>
        <v>#REF!</v>
      </c>
      <c r="I259" s="25" t="e">
        <f t="shared" si="36"/>
        <v>#REF!</v>
      </c>
      <c r="O259" s="26"/>
    </row>
    <row r="260" spans="1:15" hidden="1" x14ac:dyDescent="0.35">
      <c r="A260" t="s">
        <v>74</v>
      </c>
      <c r="B260" s="28" t="s">
        <v>25</v>
      </c>
      <c r="C260" s="142">
        <f>-11669116.26+792801.36-262598.4</f>
        <v>-11138913.300000001</v>
      </c>
      <c r="D260" s="25" t="e">
        <f>'RETA aruanne'!#REF!-D262</f>
        <v>#REF!</v>
      </c>
      <c r="E260" s="25" t="e">
        <f t="shared" si="42"/>
        <v>#REF!</v>
      </c>
      <c r="F260" s="29"/>
      <c r="G260" s="142">
        <f>-16858424.46+799440.03</f>
        <v>-16058984.430000002</v>
      </c>
      <c r="H260" s="25" t="e">
        <f>'RETA aruanne'!#REF!-'RETA aruanne'!#REF!</f>
        <v>#REF!</v>
      </c>
      <c r="I260" s="25" t="e">
        <f t="shared" si="36"/>
        <v>#REF!</v>
      </c>
      <c r="O260" s="26"/>
    </row>
    <row r="261" spans="1:15" hidden="1" x14ac:dyDescent="0.35">
      <c r="A261" t="s">
        <v>74</v>
      </c>
      <c r="B261" t="s">
        <v>51</v>
      </c>
      <c r="C261" s="142">
        <v>70566.28</v>
      </c>
      <c r="D261" s="30"/>
      <c r="E261" s="25">
        <f t="shared" si="42"/>
        <v>70566.28</v>
      </c>
      <c r="G261" s="142">
        <f>-3700-4000</f>
        <v>-7700</v>
      </c>
      <c r="H261" s="30"/>
      <c r="I261" s="25">
        <f t="shared" si="36"/>
        <v>-7700</v>
      </c>
      <c r="O261" s="26"/>
    </row>
    <row r="262" spans="1:15" hidden="1" x14ac:dyDescent="0.35">
      <c r="A262" t="s">
        <v>74</v>
      </c>
      <c r="B262" s="28" t="s">
        <v>794</v>
      </c>
      <c r="C262" s="142">
        <v>-951864.93</v>
      </c>
      <c r="D262" s="30" t="e">
        <f>'RETA aruanne'!#REF!</f>
        <v>#REF!</v>
      </c>
      <c r="E262" s="25" t="e">
        <f t="shared" si="42"/>
        <v>#REF!</v>
      </c>
      <c r="G262" s="142">
        <v>-460770.35</v>
      </c>
      <c r="H262" s="30" t="e">
        <f>'RETA aruanne'!#REF!</f>
        <v>#REF!</v>
      </c>
      <c r="I262" s="25" t="e">
        <f t="shared" si="36"/>
        <v>#REF!</v>
      </c>
      <c r="O262" s="26"/>
    </row>
    <row r="263" spans="1:15" hidden="1" x14ac:dyDescent="0.35">
      <c r="A263" t="s">
        <v>74</v>
      </c>
      <c r="B263" t="s">
        <v>52</v>
      </c>
      <c r="D263" s="25" t="e">
        <f>'RETA aruanne'!#REF!</f>
        <v>#REF!</v>
      </c>
      <c r="E263" s="25" t="e">
        <f t="shared" si="42"/>
        <v>#REF!</v>
      </c>
      <c r="G263" s="142"/>
      <c r="H263" s="25" t="e">
        <f>'RETA aruanne'!#REF!</f>
        <v>#REF!</v>
      </c>
      <c r="I263" s="25" t="e">
        <f t="shared" si="36"/>
        <v>#REF!</v>
      </c>
      <c r="O263" s="26"/>
    </row>
    <row r="264" spans="1:15" hidden="1" x14ac:dyDescent="0.35"/>
  </sheetData>
  <autoFilter ref="A4:J264" xr:uid="{EF1F9403-50E9-43C6-AF9D-B37F0A9328D9}">
    <filterColumn colId="0">
      <filters>
        <filter val="KUM"/>
      </filters>
    </filterColumn>
  </autoFilter>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69D06-09F6-4CA5-8EC3-C07FEC7BEB56}">
  <dimension ref="A1:AQ28"/>
  <sheetViews>
    <sheetView topLeftCell="A7" workbookViewId="0">
      <selection activeCell="P15" sqref="P15"/>
    </sheetView>
  </sheetViews>
  <sheetFormatPr defaultRowHeight="14.5" x14ac:dyDescent="0.35"/>
  <cols>
    <col min="1" max="1" width="19.26953125" customWidth="1"/>
    <col min="2" max="2" width="15.453125" style="2" customWidth="1"/>
    <col min="3" max="4" width="14.7265625" style="2" customWidth="1"/>
    <col min="5" max="5" width="17.54296875" style="2" bestFit="1" customWidth="1"/>
    <col min="6" max="6" width="13" style="2" customWidth="1"/>
    <col min="8" max="8" width="15" bestFit="1" customWidth="1"/>
    <col min="9" max="9" width="13.54296875" bestFit="1" customWidth="1"/>
    <col min="10" max="10" width="12.453125" bestFit="1" customWidth="1"/>
    <col min="11" max="11" width="19.26953125" customWidth="1"/>
    <col min="12" max="13" width="15.453125" style="2" customWidth="1"/>
    <col min="14" max="14" width="14.7265625" style="2" customWidth="1"/>
    <col min="15" max="15" width="17.54296875" style="2" bestFit="1" customWidth="1"/>
    <col min="16" max="16" width="13" style="2" customWidth="1"/>
    <col min="17" max="17" width="12.26953125" bestFit="1" customWidth="1"/>
    <col min="18" max="18" width="12.54296875" customWidth="1"/>
    <col min="19" max="19" width="10.7265625" customWidth="1"/>
    <col min="20" max="20" width="11.453125" bestFit="1" customWidth="1"/>
    <col min="37" max="37" width="24.453125" bestFit="1" customWidth="1"/>
    <col min="38" max="43" width="10.81640625" bestFit="1" customWidth="1"/>
  </cols>
  <sheetData>
    <row r="1" spans="1:43" x14ac:dyDescent="0.35">
      <c r="A1" t="s">
        <v>1081</v>
      </c>
      <c r="H1" s="26"/>
      <c r="I1" s="26"/>
      <c r="J1" s="26"/>
      <c r="K1" t="s">
        <v>934</v>
      </c>
      <c r="R1" s="26"/>
      <c r="S1" s="26"/>
      <c r="T1" s="26"/>
      <c r="V1" t="s">
        <v>1081</v>
      </c>
      <c r="AC1" t="s">
        <v>934</v>
      </c>
      <c r="AK1" t="s">
        <v>1020</v>
      </c>
    </row>
    <row r="2" spans="1:43" x14ac:dyDescent="0.35">
      <c r="H2" s="26"/>
      <c r="I2" s="26"/>
      <c r="J2" s="26"/>
      <c r="R2" s="26"/>
      <c r="S2" s="26"/>
      <c r="T2" s="26"/>
    </row>
    <row r="3" spans="1:43" ht="85" x14ac:dyDescent="0.35">
      <c r="A3" s="32" t="s">
        <v>75</v>
      </c>
      <c r="B3" s="157" t="s">
        <v>76</v>
      </c>
      <c r="C3" s="157" t="s">
        <v>995</v>
      </c>
      <c r="D3" s="157" t="s">
        <v>996</v>
      </c>
      <c r="E3" s="157" t="s">
        <v>78</v>
      </c>
      <c r="F3" s="157" t="s">
        <v>79</v>
      </c>
      <c r="G3" s="33"/>
      <c r="H3" s="25"/>
      <c r="I3" s="25"/>
      <c r="J3" s="25"/>
      <c r="K3" s="32" t="s">
        <v>75</v>
      </c>
      <c r="L3" s="157" t="s">
        <v>76</v>
      </c>
      <c r="M3" s="157" t="s">
        <v>995</v>
      </c>
      <c r="N3" s="157" t="s">
        <v>996</v>
      </c>
      <c r="O3" s="157" t="s">
        <v>78</v>
      </c>
      <c r="P3" s="157" t="s">
        <v>79</v>
      </c>
      <c r="Q3" s="33" t="s">
        <v>943</v>
      </c>
      <c r="R3" s="25"/>
      <c r="S3" s="25"/>
      <c r="T3" s="25"/>
      <c r="U3" s="25"/>
      <c r="V3" s="34" t="s">
        <v>75</v>
      </c>
      <c r="W3" s="35" t="s">
        <v>80</v>
      </c>
      <c r="X3" s="35" t="s">
        <v>995</v>
      </c>
      <c r="Y3" s="35" t="s">
        <v>996</v>
      </c>
      <c r="Z3" s="35" t="s">
        <v>78</v>
      </c>
      <c r="AA3" s="35" t="s">
        <v>79</v>
      </c>
      <c r="AC3" s="34" t="s">
        <v>75</v>
      </c>
      <c r="AD3" s="35" t="s">
        <v>80</v>
      </c>
      <c r="AE3" s="35" t="s">
        <v>77</v>
      </c>
      <c r="AF3" s="35" t="s">
        <v>78</v>
      </c>
      <c r="AG3" s="35" t="s">
        <v>79</v>
      </c>
      <c r="AH3" s="242" t="s">
        <v>1003</v>
      </c>
      <c r="AK3" s="32" t="s">
        <v>75</v>
      </c>
      <c r="AL3" s="157" t="s">
        <v>1021</v>
      </c>
      <c r="AM3" s="157" t="s">
        <v>1022</v>
      </c>
      <c r="AN3" s="157" t="s">
        <v>1023</v>
      </c>
      <c r="AO3" s="157" t="s">
        <v>1024</v>
      </c>
      <c r="AP3" s="157" t="s">
        <v>1025</v>
      </c>
      <c r="AQ3" s="157" t="s">
        <v>1026</v>
      </c>
    </row>
    <row r="4" spans="1:43" ht="22" x14ac:dyDescent="0.35">
      <c r="A4" s="36" t="s">
        <v>81</v>
      </c>
      <c r="B4" s="4"/>
      <c r="C4" s="4"/>
      <c r="D4" s="4"/>
      <c r="E4" s="4"/>
      <c r="F4" s="4">
        <f t="shared" ref="F4:F21" si="0">SUM(B4:E4)</f>
        <v>0</v>
      </c>
      <c r="G4" s="4"/>
      <c r="H4" s="26"/>
      <c r="I4" s="26"/>
      <c r="J4" s="26"/>
      <c r="K4" s="36" t="s">
        <v>81</v>
      </c>
      <c r="L4" s="4">
        <v>72551169</v>
      </c>
      <c r="M4" s="4">
        <v>0</v>
      </c>
      <c r="N4" s="4">
        <v>0</v>
      </c>
      <c r="O4" s="4">
        <v>0</v>
      </c>
      <c r="P4" s="4">
        <f t="shared" ref="P4:P21" si="1">SUM(L4:O4)</f>
        <v>72551169</v>
      </c>
      <c r="Q4" s="4"/>
      <c r="R4" s="4"/>
      <c r="S4" s="26" t="s">
        <v>1019</v>
      </c>
      <c r="T4" s="26"/>
      <c r="U4" s="26"/>
      <c r="V4" s="37" t="s">
        <v>81</v>
      </c>
      <c r="W4" s="38">
        <f t="shared" ref="W4:W22" si="2">ROUND(B4/1000,2)</f>
        <v>0</v>
      </c>
      <c r="X4" s="38">
        <f t="shared" ref="X4:X22" si="3">ROUND(C4/1000,2)</f>
        <v>0</v>
      </c>
      <c r="Y4" s="38">
        <f t="shared" ref="Y4:Y22" si="4">ROUND(D4/1000,2)</f>
        <v>0</v>
      </c>
      <c r="Z4" s="38">
        <f t="shared" ref="Z4:Z22" si="5">ROUND(E4/1000,2)</f>
        <v>0</v>
      </c>
      <c r="AA4" s="38">
        <f t="shared" ref="AA4:AA22" si="6">ROUND(F4/1000,2)</f>
        <v>0</v>
      </c>
      <c r="AC4" s="37" t="s">
        <v>81</v>
      </c>
      <c r="AD4" s="38">
        <f t="shared" ref="AD4:AD22" si="7">ROUND(L4/1000,0)</f>
        <v>72551</v>
      </c>
      <c r="AE4" s="38">
        <f t="shared" ref="AE4:AH23" si="8">ROUND(N4/1000,0)</f>
        <v>0</v>
      </c>
      <c r="AF4" s="38">
        <f t="shared" si="8"/>
        <v>0</v>
      </c>
      <c r="AG4" s="38">
        <f t="shared" si="8"/>
        <v>72551</v>
      </c>
      <c r="AH4" s="38">
        <f t="shared" si="8"/>
        <v>0</v>
      </c>
      <c r="AK4" s="36" t="s">
        <v>81</v>
      </c>
      <c r="AL4" s="4">
        <v>0</v>
      </c>
      <c r="AM4" s="4">
        <v>0</v>
      </c>
      <c r="AN4" s="4">
        <v>0</v>
      </c>
      <c r="AO4" s="4">
        <v>0</v>
      </c>
      <c r="AP4" s="4">
        <v>0</v>
      </c>
      <c r="AQ4" s="4">
        <v>0</v>
      </c>
    </row>
    <row r="5" spans="1:43" x14ac:dyDescent="0.35">
      <c r="A5" s="36" t="s">
        <v>83</v>
      </c>
      <c r="B5" s="2">
        <f>2029860.22+3493725.81</f>
        <v>5523586.0300000003</v>
      </c>
      <c r="C5" s="4">
        <v>44.73</v>
      </c>
      <c r="D5" s="4">
        <v>0</v>
      </c>
      <c r="E5" s="4">
        <v>0</v>
      </c>
      <c r="F5" s="4">
        <f t="shared" si="0"/>
        <v>5523630.7600000007</v>
      </c>
      <c r="G5" s="4"/>
      <c r="H5" s="26">
        <f>E5+D5+C5</f>
        <v>44.73</v>
      </c>
      <c r="I5" s="26"/>
      <c r="J5" s="26"/>
      <c r="K5" s="36" t="s">
        <v>83</v>
      </c>
      <c r="L5" s="2">
        <f>2643273.69+449451.23</f>
        <v>3092724.92</v>
      </c>
      <c r="M5" s="4">
        <v>1238.05</v>
      </c>
      <c r="N5" s="4">
        <v>0</v>
      </c>
      <c r="O5" s="4">
        <v>8820.16</v>
      </c>
      <c r="P5" s="4">
        <f t="shared" si="1"/>
        <v>3102783.13</v>
      </c>
      <c r="Q5" s="4">
        <f>2643273.69+449451.23-3091329</f>
        <v>1395.9199999999255</v>
      </c>
      <c r="R5" s="4"/>
      <c r="S5" s="26"/>
      <c r="T5" s="26"/>
      <c r="U5" s="26"/>
      <c r="V5" s="37" t="s">
        <v>83</v>
      </c>
      <c r="W5" s="38">
        <f t="shared" si="2"/>
        <v>5523.59</v>
      </c>
      <c r="X5" s="38">
        <f t="shared" si="3"/>
        <v>0.04</v>
      </c>
      <c r="Y5" s="38">
        <f t="shared" si="4"/>
        <v>0</v>
      </c>
      <c r="Z5" s="38">
        <f t="shared" si="5"/>
        <v>0</v>
      </c>
      <c r="AA5" s="38">
        <f t="shared" si="6"/>
        <v>5523.63</v>
      </c>
      <c r="AC5" s="37" t="s">
        <v>83</v>
      </c>
      <c r="AD5" s="38">
        <f t="shared" si="7"/>
        <v>3093</v>
      </c>
      <c r="AE5" s="38">
        <f t="shared" si="8"/>
        <v>0</v>
      </c>
      <c r="AF5" s="38">
        <f t="shared" si="8"/>
        <v>9</v>
      </c>
      <c r="AG5" s="38">
        <f t="shared" si="8"/>
        <v>3103</v>
      </c>
      <c r="AH5" s="38">
        <f t="shared" si="8"/>
        <v>1</v>
      </c>
      <c r="AK5" s="36" t="s">
        <v>83</v>
      </c>
      <c r="AL5" s="4">
        <v>0</v>
      </c>
      <c r="AM5" s="4">
        <v>0</v>
      </c>
      <c r="AN5" s="4">
        <v>0</v>
      </c>
      <c r="AO5" s="4">
        <v>0</v>
      </c>
      <c r="AP5" s="4">
        <v>0</v>
      </c>
      <c r="AQ5" s="4">
        <v>0</v>
      </c>
    </row>
    <row r="6" spans="1:43" ht="22" x14ac:dyDescent="0.35">
      <c r="A6" s="36" t="s">
        <v>84</v>
      </c>
      <c r="B6" s="4"/>
      <c r="C6" s="4"/>
      <c r="D6" s="4"/>
      <c r="E6" s="4"/>
      <c r="F6" s="4">
        <f t="shared" si="0"/>
        <v>0</v>
      </c>
      <c r="G6" s="4"/>
      <c r="H6" s="26">
        <f t="shared" ref="H6:H22" si="9">E6+D6+C6</f>
        <v>0</v>
      </c>
      <c r="I6" s="26"/>
      <c r="J6" s="26"/>
      <c r="K6" s="36" t="s">
        <v>84</v>
      </c>
      <c r="L6" s="4">
        <v>257611</v>
      </c>
      <c r="M6" s="4">
        <v>0</v>
      </c>
      <c r="N6" s="4">
        <v>0</v>
      </c>
      <c r="O6" s="4">
        <v>0</v>
      </c>
      <c r="P6" s="4">
        <f t="shared" si="1"/>
        <v>257611</v>
      </c>
      <c r="Q6" s="4"/>
      <c r="R6" s="4"/>
      <c r="S6" s="26"/>
      <c r="T6" s="26"/>
      <c r="U6" s="26"/>
      <c r="V6" s="37" t="s">
        <v>84</v>
      </c>
      <c r="W6" s="38">
        <f t="shared" si="2"/>
        <v>0</v>
      </c>
      <c r="X6" s="38">
        <f t="shared" si="3"/>
        <v>0</v>
      </c>
      <c r="Y6" s="38">
        <f t="shared" si="4"/>
        <v>0</v>
      </c>
      <c r="Z6" s="38">
        <f t="shared" si="5"/>
        <v>0</v>
      </c>
      <c r="AA6" s="38">
        <f t="shared" si="6"/>
        <v>0</v>
      </c>
      <c r="AC6" s="37" t="s">
        <v>84</v>
      </c>
      <c r="AD6" s="38">
        <f t="shared" si="7"/>
        <v>258</v>
      </c>
      <c r="AE6" s="38">
        <f t="shared" si="8"/>
        <v>0</v>
      </c>
      <c r="AF6" s="38">
        <f t="shared" si="8"/>
        <v>0</v>
      </c>
      <c r="AG6" s="38">
        <f t="shared" si="8"/>
        <v>258</v>
      </c>
      <c r="AH6" s="38">
        <f t="shared" si="8"/>
        <v>0</v>
      </c>
      <c r="AK6" s="36" t="s">
        <v>84</v>
      </c>
      <c r="AL6" s="4">
        <v>0</v>
      </c>
      <c r="AM6" s="4">
        <v>0</v>
      </c>
      <c r="AN6" s="4">
        <v>0</v>
      </c>
      <c r="AO6" s="4">
        <v>0</v>
      </c>
      <c r="AP6" s="4">
        <v>0</v>
      </c>
      <c r="AQ6" s="4">
        <v>0</v>
      </c>
    </row>
    <row r="7" spans="1:43" x14ac:dyDescent="0.35">
      <c r="A7" s="36" t="s">
        <v>44</v>
      </c>
      <c r="B7" s="4"/>
      <c r="C7" s="4"/>
      <c r="D7" s="4"/>
      <c r="E7" s="4"/>
      <c r="F7" s="4">
        <f t="shared" si="0"/>
        <v>0</v>
      </c>
      <c r="G7" s="4"/>
      <c r="H7" s="26">
        <f t="shared" si="9"/>
        <v>0</v>
      </c>
      <c r="I7" s="26"/>
      <c r="J7" s="26"/>
      <c r="K7" s="36" t="s">
        <v>44</v>
      </c>
      <c r="L7" s="4">
        <v>620000</v>
      </c>
      <c r="M7" s="4">
        <v>0</v>
      </c>
      <c r="N7" s="4">
        <v>0</v>
      </c>
      <c r="O7" s="4">
        <v>0</v>
      </c>
      <c r="P7" s="4">
        <f t="shared" si="1"/>
        <v>620000</v>
      </c>
      <c r="Q7" s="4"/>
      <c r="R7" s="4"/>
      <c r="S7" s="26"/>
      <c r="T7" s="26"/>
      <c r="U7" s="26"/>
      <c r="V7" s="37" t="s">
        <v>44</v>
      </c>
      <c r="W7" s="38">
        <f t="shared" si="2"/>
        <v>0</v>
      </c>
      <c r="X7" s="38">
        <f t="shared" si="3"/>
        <v>0</v>
      </c>
      <c r="Y7" s="38">
        <f t="shared" si="4"/>
        <v>0</v>
      </c>
      <c r="Z7" s="38">
        <f t="shared" si="5"/>
        <v>0</v>
      </c>
      <c r="AA7" s="38">
        <f t="shared" si="6"/>
        <v>0</v>
      </c>
      <c r="AC7" s="37" t="s">
        <v>44</v>
      </c>
      <c r="AD7" s="38">
        <f t="shared" si="7"/>
        <v>620</v>
      </c>
      <c r="AE7" s="38">
        <f t="shared" si="8"/>
        <v>0</v>
      </c>
      <c r="AF7" s="38">
        <f t="shared" si="8"/>
        <v>0</v>
      </c>
      <c r="AG7" s="38">
        <f t="shared" si="8"/>
        <v>620</v>
      </c>
      <c r="AH7" s="38">
        <f t="shared" si="8"/>
        <v>0</v>
      </c>
      <c r="AK7" s="36" t="s">
        <v>44</v>
      </c>
      <c r="AL7" s="4">
        <v>0</v>
      </c>
      <c r="AM7" s="4">
        <v>0</v>
      </c>
      <c r="AN7" s="4">
        <v>0</v>
      </c>
      <c r="AO7" s="4">
        <v>0</v>
      </c>
      <c r="AP7" s="4">
        <v>0</v>
      </c>
      <c r="AQ7" s="4">
        <v>0</v>
      </c>
    </row>
    <row r="8" spans="1:43" ht="22" x14ac:dyDescent="0.35">
      <c r="A8" s="36" t="s">
        <v>45</v>
      </c>
      <c r="B8" s="4"/>
      <c r="C8" s="4"/>
      <c r="D8" s="4"/>
      <c r="E8" s="4"/>
      <c r="F8" s="4">
        <f t="shared" si="0"/>
        <v>0</v>
      </c>
      <c r="G8" s="4"/>
      <c r="H8" s="26">
        <f t="shared" si="9"/>
        <v>0</v>
      </c>
      <c r="I8" s="26"/>
      <c r="J8" s="26"/>
      <c r="K8" s="36" t="s">
        <v>45</v>
      </c>
      <c r="L8" s="4">
        <v>236955</v>
      </c>
      <c r="M8" s="4">
        <v>0</v>
      </c>
      <c r="N8" s="4">
        <v>0</v>
      </c>
      <c r="O8" s="4">
        <v>0</v>
      </c>
      <c r="P8" s="4">
        <f t="shared" si="1"/>
        <v>236955</v>
      </c>
      <c r="Q8" s="4"/>
      <c r="R8" s="4"/>
      <c r="S8" s="26"/>
      <c r="T8" s="26"/>
      <c r="U8" s="26"/>
      <c r="V8" s="37" t="s">
        <v>45</v>
      </c>
      <c r="W8" s="38">
        <f t="shared" si="2"/>
        <v>0</v>
      </c>
      <c r="X8" s="38">
        <f t="shared" si="3"/>
        <v>0</v>
      </c>
      <c r="Y8" s="38">
        <f t="shared" si="4"/>
        <v>0</v>
      </c>
      <c r="Z8" s="38">
        <f t="shared" si="5"/>
        <v>0</v>
      </c>
      <c r="AA8" s="38">
        <f t="shared" si="6"/>
        <v>0</v>
      </c>
      <c r="AC8" s="37" t="s">
        <v>45</v>
      </c>
      <c r="AD8" s="38">
        <f t="shared" si="7"/>
        <v>237</v>
      </c>
      <c r="AE8" s="38">
        <f t="shared" si="8"/>
        <v>0</v>
      </c>
      <c r="AF8" s="38">
        <f t="shared" si="8"/>
        <v>0</v>
      </c>
      <c r="AG8" s="38">
        <f t="shared" si="8"/>
        <v>237</v>
      </c>
      <c r="AH8" s="38">
        <f t="shared" si="8"/>
        <v>0</v>
      </c>
      <c r="AK8" s="36" t="s">
        <v>45</v>
      </c>
      <c r="AL8" s="4">
        <v>0</v>
      </c>
      <c r="AM8" s="4">
        <v>0</v>
      </c>
      <c r="AN8" s="4">
        <v>0</v>
      </c>
      <c r="AO8" s="4">
        <v>0</v>
      </c>
      <c r="AP8" s="4">
        <v>0</v>
      </c>
      <c r="AQ8" s="4">
        <v>0</v>
      </c>
    </row>
    <row r="9" spans="1:43" x14ac:dyDescent="0.35">
      <c r="A9" s="36" t="s">
        <v>46</v>
      </c>
      <c r="B9" s="4">
        <v>328647</v>
      </c>
      <c r="C9" s="4"/>
      <c r="D9" s="4"/>
      <c r="E9" s="4"/>
      <c r="F9" s="4">
        <f t="shared" si="0"/>
        <v>328647</v>
      </c>
      <c r="G9" s="4"/>
      <c r="H9" s="26">
        <f t="shared" si="9"/>
        <v>0</v>
      </c>
      <c r="I9" s="26" t="s">
        <v>1015</v>
      </c>
      <c r="J9" s="26"/>
      <c r="K9" s="36" t="s">
        <v>46</v>
      </c>
      <c r="L9" s="4">
        <v>306207</v>
      </c>
      <c r="M9" s="4">
        <v>37132.870000000003</v>
      </c>
      <c r="N9" s="4">
        <v>0</v>
      </c>
      <c r="O9" s="4">
        <v>0</v>
      </c>
      <c r="P9" s="4">
        <f t="shared" si="1"/>
        <v>343339.87</v>
      </c>
      <c r="Q9" s="4"/>
      <c r="R9" s="4"/>
      <c r="S9" s="26"/>
      <c r="T9" s="26"/>
      <c r="U9" s="26"/>
      <c r="V9" s="37" t="s">
        <v>46</v>
      </c>
      <c r="W9" s="38">
        <f t="shared" si="2"/>
        <v>328.65</v>
      </c>
      <c r="X9" s="38">
        <f t="shared" si="3"/>
        <v>0</v>
      </c>
      <c r="Y9" s="38">
        <f t="shared" si="4"/>
        <v>0</v>
      </c>
      <c r="Z9" s="38">
        <f t="shared" si="5"/>
        <v>0</v>
      </c>
      <c r="AA9" s="38">
        <f t="shared" si="6"/>
        <v>328.65</v>
      </c>
      <c r="AC9" s="37" t="s">
        <v>46</v>
      </c>
      <c r="AD9" s="38">
        <f t="shared" si="7"/>
        <v>306</v>
      </c>
      <c r="AE9" s="38">
        <f t="shared" si="8"/>
        <v>0</v>
      </c>
      <c r="AF9" s="38">
        <f t="shared" si="8"/>
        <v>0</v>
      </c>
      <c r="AG9" s="38">
        <f t="shared" si="8"/>
        <v>343</v>
      </c>
      <c r="AH9" s="38">
        <f t="shared" si="8"/>
        <v>0</v>
      </c>
      <c r="AK9" s="36" t="s">
        <v>46</v>
      </c>
      <c r="AL9" s="4">
        <v>0</v>
      </c>
      <c r="AM9" s="4">
        <v>0</v>
      </c>
      <c r="AN9" s="4">
        <v>0</v>
      </c>
      <c r="AO9" s="4">
        <v>0</v>
      </c>
      <c r="AP9" s="4">
        <v>0</v>
      </c>
      <c r="AQ9" s="4">
        <v>0</v>
      </c>
    </row>
    <row r="10" spans="1:43" ht="22" x14ac:dyDescent="0.35">
      <c r="A10" s="36" t="s">
        <v>47</v>
      </c>
      <c r="B10" s="4"/>
      <c r="C10" s="4"/>
      <c r="D10" s="4"/>
      <c r="E10" s="4"/>
      <c r="F10" s="4">
        <f t="shared" si="0"/>
        <v>0</v>
      </c>
      <c r="G10" s="39"/>
      <c r="H10" s="26">
        <f t="shared" si="9"/>
        <v>0</v>
      </c>
      <c r="I10" s="26"/>
      <c r="J10" s="26"/>
      <c r="K10" s="36" t="s">
        <v>47</v>
      </c>
      <c r="L10" s="4">
        <f>1464428.38+41013</f>
        <v>1505441.38</v>
      </c>
      <c r="M10" s="4">
        <v>0</v>
      </c>
      <c r="N10" s="4">
        <v>0</v>
      </c>
      <c r="O10" s="4">
        <v>0</v>
      </c>
      <c r="P10" s="4">
        <f t="shared" si="1"/>
        <v>1505441.38</v>
      </c>
      <c r="Q10" s="4"/>
      <c r="R10" s="39"/>
      <c r="S10" s="26"/>
      <c r="T10" s="26"/>
      <c r="U10" s="26"/>
      <c r="V10" s="37" t="s">
        <v>47</v>
      </c>
      <c r="W10" s="38">
        <f t="shared" si="2"/>
        <v>0</v>
      </c>
      <c r="X10" s="38">
        <f t="shared" si="3"/>
        <v>0</v>
      </c>
      <c r="Y10" s="38">
        <f t="shared" si="4"/>
        <v>0</v>
      </c>
      <c r="Z10" s="38">
        <f t="shared" si="5"/>
        <v>0</v>
      </c>
      <c r="AA10" s="38">
        <f t="shared" si="6"/>
        <v>0</v>
      </c>
      <c r="AC10" s="37" t="s">
        <v>47</v>
      </c>
      <c r="AD10" s="38">
        <f t="shared" si="7"/>
        <v>1505</v>
      </c>
      <c r="AE10" s="38">
        <f t="shared" si="8"/>
        <v>0</v>
      </c>
      <c r="AF10" s="38">
        <f t="shared" si="8"/>
        <v>0</v>
      </c>
      <c r="AG10" s="38">
        <f t="shared" si="8"/>
        <v>1505</v>
      </c>
      <c r="AH10" s="38">
        <f t="shared" si="8"/>
        <v>0</v>
      </c>
      <c r="AK10" s="36" t="s">
        <v>47</v>
      </c>
      <c r="AL10" s="4">
        <v>0</v>
      </c>
      <c r="AM10" s="4">
        <v>0</v>
      </c>
      <c r="AN10" s="4">
        <v>0</v>
      </c>
      <c r="AO10" s="4">
        <v>0</v>
      </c>
      <c r="AP10" s="4">
        <v>0</v>
      </c>
      <c r="AQ10" s="4">
        <v>0</v>
      </c>
    </row>
    <row r="11" spans="1:43" ht="32.5" x14ac:dyDescent="0.35">
      <c r="A11" s="36" t="s">
        <v>85</v>
      </c>
      <c r="C11" s="4"/>
      <c r="D11" s="4"/>
      <c r="E11" s="4"/>
      <c r="F11" s="4">
        <f t="shared" si="0"/>
        <v>0</v>
      </c>
      <c r="G11" s="40"/>
      <c r="H11" s="26">
        <f t="shared" si="9"/>
        <v>0</v>
      </c>
      <c r="I11" s="26"/>
      <c r="J11" s="26"/>
      <c r="K11" s="36" t="s">
        <v>85</v>
      </c>
      <c r="L11" s="2">
        <f>98593492.01-43792887-790000</f>
        <v>54010605.010000005</v>
      </c>
      <c r="M11" s="4">
        <f>17885766.23+1640</f>
        <v>17887406.23</v>
      </c>
      <c r="N11" s="4">
        <v>0</v>
      </c>
      <c r="O11" s="4">
        <v>66584354.020000003</v>
      </c>
      <c r="P11" s="4">
        <f t="shared" si="1"/>
        <v>138482365.26000002</v>
      </c>
      <c r="Q11" s="4">
        <f>1640-43792887-790000</f>
        <v>-44581247</v>
      </c>
      <c r="R11" s="40"/>
      <c r="S11" s="26" t="s">
        <v>1085</v>
      </c>
      <c r="T11" s="26"/>
      <c r="U11" s="26"/>
      <c r="V11" s="37" t="s">
        <v>85</v>
      </c>
      <c r="W11" s="38">
        <f t="shared" si="2"/>
        <v>0</v>
      </c>
      <c r="X11" s="38">
        <f t="shared" si="3"/>
        <v>0</v>
      </c>
      <c r="Y11" s="38">
        <f t="shared" si="4"/>
        <v>0</v>
      </c>
      <c r="Z11" s="38">
        <f t="shared" si="5"/>
        <v>0</v>
      </c>
      <c r="AA11" s="38">
        <f t="shared" si="6"/>
        <v>0</v>
      </c>
      <c r="AC11" s="37" t="s">
        <v>85</v>
      </c>
      <c r="AD11" s="38">
        <f t="shared" si="7"/>
        <v>54011</v>
      </c>
      <c r="AE11" s="38">
        <f t="shared" si="8"/>
        <v>0</v>
      </c>
      <c r="AF11" s="38">
        <f t="shared" si="8"/>
        <v>66584</v>
      </c>
      <c r="AG11" s="38">
        <f t="shared" si="8"/>
        <v>138482</v>
      </c>
      <c r="AH11" s="38">
        <f t="shared" si="8"/>
        <v>-44581</v>
      </c>
      <c r="AK11" s="36" t="s">
        <v>85</v>
      </c>
      <c r="AL11" s="4">
        <v>0</v>
      </c>
      <c r="AM11" s="4">
        <v>0</v>
      </c>
      <c r="AN11" s="4">
        <v>0</v>
      </c>
      <c r="AO11" s="4">
        <v>0</v>
      </c>
      <c r="AP11" s="4">
        <v>0</v>
      </c>
      <c r="AQ11" s="4">
        <v>0</v>
      </c>
    </row>
    <row r="12" spans="1:43" ht="22" x14ac:dyDescent="0.35">
      <c r="A12" s="36" t="s">
        <v>86</v>
      </c>
      <c r="B12" s="4"/>
      <c r="C12" s="4"/>
      <c r="D12" s="4"/>
      <c r="E12" s="4"/>
      <c r="F12" s="4">
        <f t="shared" si="0"/>
        <v>0</v>
      </c>
      <c r="G12" s="39"/>
      <c r="H12" s="26">
        <f t="shared" si="9"/>
        <v>0</v>
      </c>
      <c r="I12" s="26"/>
      <c r="J12" s="26"/>
      <c r="K12" s="36" t="s">
        <v>86</v>
      </c>
      <c r="L12" s="4">
        <f>30371095-1623230</f>
        <v>28747865</v>
      </c>
      <c r="M12" s="4">
        <f>5246674.17+9435188.5</f>
        <v>14681862.67</v>
      </c>
      <c r="N12" s="4">
        <v>0</v>
      </c>
      <c r="O12" s="4">
        <f>1556884.15+1647503.59</f>
        <v>3204387.74</v>
      </c>
      <c r="P12" s="4">
        <f t="shared" si="1"/>
        <v>46634115.410000004</v>
      </c>
      <c r="Q12" s="4">
        <v>-1623230</v>
      </c>
      <c r="R12" s="39"/>
      <c r="S12" s="26" t="s">
        <v>1090</v>
      </c>
      <c r="T12" s="26"/>
      <c r="U12" s="26"/>
      <c r="V12" s="37" t="s">
        <v>86</v>
      </c>
      <c r="W12" s="38">
        <f t="shared" si="2"/>
        <v>0</v>
      </c>
      <c r="X12" s="38">
        <f t="shared" si="3"/>
        <v>0</v>
      </c>
      <c r="Y12" s="38">
        <f t="shared" si="4"/>
        <v>0</v>
      </c>
      <c r="Z12" s="38">
        <f t="shared" si="5"/>
        <v>0</v>
      </c>
      <c r="AA12" s="38">
        <f t="shared" si="6"/>
        <v>0</v>
      </c>
      <c r="AC12" s="37" t="s">
        <v>86</v>
      </c>
      <c r="AD12" s="38">
        <f t="shared" si="7"/>
        <v>28748</v>
      </c>
      <c r="AE12" s="38">
        <f t="shared" si="8"/>
        <v>0</v>
      </c>
      <c r="AF12" s="38">
        <f t="shared" si="8"/>
        <v>3204</v>
      </c>
      <c r="AG12" s="38">
        <f t="shared" si="8"/>
        <v>46634</v>
      </c>
      <c r="AH12" s="38">
        <f t="shared" si="8"/>
        <v>-1623</v>
      </c>
      <c r="AK12" s="36" t="s">
        <v>86</v>
      </c>
      <c r="AL12" s="4">
        <v>0</v>
      </c>
      <c r="AM12" s="4">
        <v>0</v>
      </c>
      <c r="AN12" s="4">
        <v>0</v>
      </c>
      <c r="AO12" s="4">
        <v>0</v>
      </c>
      <c r="AP12" s="4">
        <v>0</v>
      </c>
      <c r="AQ12" s="4">
        <v>0</v>
      </c>
    </row>
    <row r="13" spans="1:43" ht="22" x14ac:dyDescent="0.35">
      <c r="A13" s="36" t="s">
        <v>87</v>
      </c>
      <c r="B13" s="4"/>
      <c r="C13" s="4"/>
      <c r="D13" s="4"/>
      <c r="E13" s="4"/>
      <c r="F13" s="4">
        <f t="shared" si="0"/>
        <v>0</v>
      </c>
      <c r="G13" s="39"/>
      <c r="H13" s="26">
        <f t="shared" si="9"/>
        <v>0</v>
      </c>
      <c r="I13" s="26"/>
      <c r="J13" s="26"/>
      <c r="K13" s="36" t="s">
        <v>87</v>
      </c>
      <c r="L13" s="4">
        <v>102227717</v>
      </c>
      <c r="M13" s="4">
        <v>5713067.6699999999</v>
      </c>
      <c r="N13" s="4">
        <v>784264.13</v>
      </c>
      <c r="O13" s="4">
        <f>602269770.33-408267682.85</f>
        <v>194002087.48000002</v>
      </c>
      <c r="P13" s="4">
        <f t="shared" si="1"/>
        <v>302727136.28000003</v>
      </c>
      <c r="Q13" s="4"/>
      <c r="R13" s="39"/>
      <c r="S13" s="26"/>
      <c r="T13" s="26"/>
      <c r="U13" s="26"/>
      <c r="V13" s="37" t="s">
        <v>87</v>
      </c>
      <c r="W13" s="38">
        <f t="shared" si="2"/>
        <v>0</v>
      </c>
      <c r="X13" s="38">
        <f t="shared" si="3"/>
        <v>0</v>
      </c>
      <c r="Y13" s="38">
        <f t="shared" si="4"/>
        <v>0</v>
      </c>
      <c r="Z13" s="38">
        <f t="shared" si="5"/>
        <v>0</v>
      </c>
      <c r="AA13" s="38">
        <f t="shared" si="6"/>
        <v>0</v>
      </c>
      <c r="AC13" s="37" t="s">
        <v>87</v>
      </c>
      <c r="AD13" s="38">
        <f t="shared" si="7"/>
        <v>102228</v>
      </c>
      <c r="AE13" s="38">
        <f t="shared" si="8"/>
        <v>784</v>
      </c>
      <c r="AF13" s="38">
        <f t="shared" si="8"/>
        <v>194002</v>
      </c>
      <c r="AG13" s="38">
        <f t="shared" si="8"/>
        <v>302727</v>
      </c>
      <c r="AH13" s="38">
        <f t="shared" si="8"/>
        <v>0</v>
      </c>
      <c r="AK13" s="36" t="s">
        <v>87</v>
      </c>
      <c r="AL13" s="4">
        <v>784264.13</v>
      </c>
      <c r="AM13" s="4">
        <v>0</v>
      </c>
      <c r="AN13" s="4">
        <v>0</v>
      </c>
      <c r="AO13" s="4">
        <v>0</v>
      </c>
      <c r="AP13" s="4">
        <v>0</v>
      </c>
      <c r="AQ13" s="4"/>
    </row>
    <row r="14" spans="1:43" ht="22" x14ac:dyDescent="0.35">
      <c r="A14" s="36" t="s">
        <v>878</v>
      </c>
      <c r="B14" s="4"/>
      <c r="C14" s="4"/>
      <c r="D14" s="4"/>
      <c r="E14" s="4"/>
      <c r="F14" s="4">
        <f t="shared" si="0"/>
        <v>0</v>
      </c>
      <c r="G14" s="39"/>
      <c r="H14" s="26">
        <f t="shared" si="9"/>
        <v>0</v>
      </c>
      <c r="I14" s="26"/>
      <c r="J14" s="26"/>
      <c r="K14" s="36" t="s">
        <v>878</v>
      </c>
      <c r="L14" s="4">
        <v>40665186</v>
      </c>
      <c r="M14" s="4">
        <v>14156681.380000001</v>
      </c>
      <c r="N14" s="4">
        <v>534021199.01999998</v>
      </c>
      <c r="O14" s="4">
        <v>161453969.75999999</v>
      </c>
      <c r="P14" s="4">
        <f t="shared" si="1"/>
        <v>750297036.15999997</v>
      </c>
      <c r="Q14" s="4">
        <f>40665187-44971553</f>
        <v>-4306366</v>
      </c>
      <c r="R14" s="39"/>
      <c r="S14" s="26"/>
      <c r="T14" s="26"/>
      <c r="U14" s="26"/>
      <c r="V14" s="37" t="s">
        <v>878</v>
      </c>
      <c r="W14" s="38">
        <f t="shared" si="2"/>
        <v>0</v>
      </c>
      <c r="X14" s="38">
        <f t="shared" si="3"/>
        <v>0</v>
      </c>
      <c r="Y14" s="38">
        <f t="shared" si="4"/>
        <v>0</v>
      </c>
      <c r="Z14" s="38">
        <f t="shared" si="5"/>
        <v>0</v>
      </c>
      <c r="AA14" s="38">
        <f t="shared" si="6"/>
        <v>0</v>
      </c>
      <c r="AC14" s="37" t="s">
        <v>878</v>
      </c>
      <c r="AD14" s="38">
        <f t="shared" si="7"/>
        <v>40665</v>
      </c>
      <c r="AE14" s="38">
        <f t="shared" si="8"/>
        <v>534021</v>
      </c>
      <c r="AF14" s="38">
        <f t="shared" si="8"/>
        <v>161454</v>
      </c>
      <c r="AG14" s="38">
        <f t="shared" si="8"/>
        <v>750297</v>
      </c>
      <c r="AH14" s="38">
        <f t="shared" si="8"/>
        <v>-4306</v>
      </c>
      <c r="AK14" s="36" t="s">
        <v>878</v>
      </c>
      <c r="AL14" s="4">
        <v>534021199.01999998</v>
      </c>
      <c r="AM14" s="4">
        <v>396825049.51999998</v>
      </c>
      <c r="AN14" s="4">
        <v>219328382.81999999</v>
      </c>
      <c r="AO14" s="4">
        <f>194626068.18+255895.9</f>
        <v>194881964.08000001</v>
      </c>
      <c r="AP14" s="4">
        <f>144913383.72+316819.89+371507.71</f>
        <v>145601711.31999999</v>
      </c>
      <c r="AQ14" s="4">
        <f>198764.35+142897594.48</f>
        <v>143096358.82999998</v>
      </c>
    </row>
    <row r="15" spans="1:43" ht="22" x14ac:dyDescent="0.35">
      <c r="A15" s="36" t="s">
        <v>88</v>
      </c>
      <c r="B15" s="4"/>
      <c r="C15" s="4"/>
      <c r="D15" s="4"/>
      <c r="E15" s="4"/>
      <c r="F15" s="4">
        <f t="shared" si="0"/>
        <v>0</v>
      </c>
      <c r="G15" s="39"/>
      <c r="H15" s="26">
        <f t="shared" si="9"/>
        <v>0</v>
      </c>
      <c r="I15" s="26"/>
      <c r="J15" s="26"/>
      <c r="K15" s="36" t="s">
        <v>88</v>
      </c>
      <c r="L15" s="4">
        <v>40247530.799999997</v>
      </c>
      <c r="M15" s="4">
        <v>43492741.409999996</v>
      </c>
      <c r="N15" s="4">
        <v>5864000.8399999999</v>
      </c>
      <c r="O15" s="4">
        <v>402794.25</v>
      </c>
      <c r="P15" s="53">
        <f t="shared" si="1"/>
        <v>90007067.299999997</v>
      </c>
      <c r="Q15" s="4"/>
      <c r="R15" s="39"/>
      <c r="S15" s="26"/>
      <c r="T15" s="26"/>
      <c r="U15" s="26"/>
      <c r="V15" s="37" t="s">
        <v>88</v>
      </c>
      <c r="W15" s="38">
        <f t="shared" si="2"/>
        <v>0</v>
      </c>
      <c r="X15" s="38">
        <f t="shared" si="3"/>
        <v>0</v>
      </c>
      <c r="Y15" s="38">
        <f t="shared" si="4"/>
        <v>0</v>
      </c>
      <c r="Z15" s="38">
        <f t="shared" si="5"/>
        <v>0</v>
      </c>
      <c r="AA15" s="38">
        <f t="shared" si="6"/>
        <v>0</v>
      </c>
      <c r="AC15" s="37" t="s">
        <v>88</v>
      </c>
      <c r="AD15" s="38">
        <f t="shared" si="7"/>
        <v>40248</v>
      </c>
      <c r="AE15" s="38">
        <f t="shared" si="8"/>
        <v>5864</v>
      </c>
      <c r="AF15" s="38">
        <f t="shared" si="8"/>
        <v>403</v>
      </c>
      <c r="AG15" s="38">
        <f t="shared" si="8"/>
        <v>90007</v>
      </c>
      <c r="AH15" s="38">
        <f t="shared" si="8"/>
        <v>0</v>
      </c>
      <c r="AK15" s="36" t="s">
        <v>88</v>
      </c>
      <c r="AL15" s="4">
        <v>5864000.8399999999</v>
      </c>
      <c r="AM15" s="4">
        <v>0</v>
      </c>
      <c r="AN15" s="4">
        <v>0</v>
      </c>
      <c r="AO15" s="4">
        <v>0</v>
      </c>
      <c r="AP15" s="4">
        <v>0</v>
      </c>
      <c r="AQ15" s="4">
        <v>0</v>
      </c>
    </row>
    <row r="16" spans="1:43" ht="33.75" customHeight="1" x14ac:dyDescent="0.35">
      <c r="A16" s="36" t="s">
        <v>89</v>
      </c>
      <c r="B16" s="4"/>
      <c r="C16" s="4"/>
      <c r="D16" s="4"/>
      <c r="E16" s="4"/>
      <c r="F16" s="4">
        <f t="shared" si="0"/>
        <v>0</v>
      </c>
      <c r="G16" s="39"/>
      <c r="H16" s="26">
        <f t="shared" si="9"/>
        <v>0</v>
      </c>
      <c r="I16" s="26"/>
      <c r="J16" s="26"/>
      <c r="K16" s="36" t="s">
        <v>89</v>
      </c>
      <c r="L16" s="4">
        <v>48286036.380000003</v>
      </c>
      <c r="M16" s="4">
        <f>9502681.71-9265425.6</f>
        <v>237256.11000000127</v>
      </c>
      <c r="N16" s="4">
        <v>12210423.119999999</v>
      </c>
      <c r="O16" s="4">
        <f>2075265.53-113522.04-1214470.96</f>
        <v>747272.53</v>
      </c>
      <c r="P16" s="4">
        <f t="shared" si="1"/>
        <v>61480988.140000001</v>
      </c>
      <c r="Q16" s="4">
        <f>48286036-50905684-113522.04</f>
        <v>-2733170.04</v>
      </c>
      <c r="R16" s="39"/>
      <c r="S16" s="26" t="s">
        <v>1089</v>
      </c>
      <c r="T16" s="26"/>
      <c r="U16" s="26"/>
      <c r="V16" s="37" t="s">
        <v>89</v>
      </c>
      <c r="W16" s="38">
        <f t="shared" si="2"/>
        <v>0</v>
      </c>
      <c r="X16" s="38">
        <f t="shared" si="3"/>
        <v>0</v>
      </c>
      <c r="Y16" s="38">
        <f t="shared" si="4"/>
        <v>0</v>
      </c>
      <c r="Z16" s="38">
        <f t="shared" si="5"/>
        <v>0</v>
      </c>
      <c r="AA16" s="38">
        <f t="shared" si="6"/>
        <v>0</v>
      </c>
      <c r="AC16" s="37" t="s">
        <v>89</v>
      </c>
      <c r="AD16" s="38">
        <f t="shared" si="7"/>
        <v>48286</v>
      </c>
      <c r="AE16" s="38">
        <f t="shared" si="8"/>
        <v>12210</v>
      </c>
      <c r="AF16" s="38">
        <f t="shared" si="8"/>
        <v>747</v>
      </c>
      <c r="AG16" s="38">
        <f t="shared" si="8"/>
        <v>61481</v>
      </c>
      <c r="AH16" s="38">
        <f t="shared" si="8"/>
        <v>-2733</v>
      </c>
      <c r="AK16" s="36" t="s">
        <v>89</v>
      </c>
      <c r="AL16" s="4">
        <v>12210423.119999999</v>
      </c>
      <c r="AM16" s="4">
        <v>0</v>
      </c>
      <c r="AN16" s="4">
        <v>89996368.879999995</v>
      </c>
      <c r="AO16" s="4">
        <v>23928616.82</v>
      </c>
      <c r="AP16" s="4">
        <f>52032.01+8384782.43</f>
        <v>8436814.4399999995</v>
      </c>
      <c r="AQ16" s="4">
        <f>2744540.83+1344661.46</f>
        <v>4089202.29</v>
      </c>
    </row>
    <row r="17" spans="1:43" ht="25.5" customHeight="1" x14ac:dyDescent="0.35">
      <c r="A17" s="36" t="s">
        <v>879</v>
      </c>
      <c r="B17" s="4"/>
      <c r="C17" s="4"/>
      <c r="D17" s="4"/>
      <c r="E17" s="4"/>
      <c r="F17" s="4">
        <f t="shared" si="0"/>
        <v>0</v>
      </c>
      <c r="G17" s="39"/>
      <c r="H17" s="26">
        <f t="shared" si="9"/>
        <v>0</v>
      </c>
      <c r="I17" s="26"/>
      <c r="J17" s="26"/>
      <c r="K17" s="36" t="s">
        <v>879</v>
      </c>
      <c r="L17" s="4">
        <f>17323993.78</f>
        <v>17323993.780000001</v>
      </c>
      <c r="M17" s="4">
        <f>5480136.84-169762.9</f>
        <v>5310373.9399999995</v>
      </c>
      <c r="N17" s="4">
        <v>15069549.029999999</v>
      </c>
      <c r="O17" s="4">
        <f>2147876.27-164584.56</f>
        <v>1983291.71</v>
      </c>
      <c r="P17" s="4">
        <f t="shared" si="1"/>
        <v>39687208.460000001</v>
      </c>
      <c r="Q17" s="4">
        <v>-164584.56</v>
      </c>
      <c r="R17" s="39"/>
      <c r="S17" s="26" t="s">
        <v>1086</v>
      </c>
      <c r="T17" s="26"/>
      <c r="U17" s="26"/>
      <c r="V17" s="36" t="s">
        <v>879</v>
      </c>
      <c r="W17" s="38">
        <f t="shared" si="2"/>
        <v>0</v>
      </c>
      <c r="X17" s="38">
        <f t="shared" si="3"/>
        <v>0</v>
      </c>
      <c r="Y17" s="38">
        <f t="shared" si="4"/>
        <v>0</v>
      </c>
      <c r="Z17" s="38">
        <f t="shared" si="5"/>
        <v>0</v>
      </c>
      <c r="AA17" s="38">
        <f t="shared" si="6"/>
        <v>0</v>
      </c>
      <c r="AC17" s="36" t="s">
        <v>879</v>
      </c>
      <c r="AD17" s="38">
        <f t="shared" si="7"/>
        <v>17324</v>
      </c>
      <c r="AE17" s="38">
        <f t="shared" si="8"/>
        <v>15070</v>
      </c>
      <c r="AF17" s="38">
        <f t="shared" si="8"/>
        <v>1983</v>
      </c>
      <c r="AG17" s="38">
        <f t="shared" si="8"/>
        <v>39687</v>
      </c>
      <c r="AH17" s="38">
        <f t="shared" si="8"/>
        <v>-165</v>
      </c>
      <c r="AK17" s="36" t="s">
        <v>879</v>
      </c>
      <c r="AL17" s="4">
        <v>15069549.029999999</v>
      </c>
      <c r="AM17" s="4">
        <v>213935.49</v>
      </c>
      <c r="AN17" s="4">
        <v>0</v>
      </c>
      <c r="AO17" s="4">
        <v>0</v>
      </c>
      <c r="AP17" s="4">
        <v>0</v>
      </c>
      <c r="AQ17" s="4">
        <v>0</v>
      </c>
    </row>
    <row r="18" spans="1:43" ht="22" x14ac:dyDescent="0.35">
      <c r="A18" s="36" t="s">
        <v>90</v>
      </c>
      <c r="B18" s="4"/>
      <c r="C18" s="4"/>
      <c r="D18" s="4"/>
      <c r="E18" s="4"/>
      <c r="F18" s="4">
        <f t="shared" si="0"/>
        <v>0</v>
      </c>
      <c r="G18" s="39"/>
      <c r="H18" s="26">
        <f t="shared" si="9"/>
        <v>0</v>
      </c>
      <c r="I18" s="26"/>
      <c r="J18" s="26"/>
      <c r="K18" s="36" t="s">
        <v>90</v>
      </c>
      <c r="L18" s="4">
        <f>11907738.31+2154899.47</f>
        <v>14062637.780000001</v>
      </c>
      <c r="M18" s="4">
        <v>1004084.77</v>
      </c>
      <c r="N18" s="4">
        <v>3132511.23</v>
      </c>
      <c r="O18" s="4">
        <v>3575814.57</v>
      </c>
      <c r="P18" s="4">
        <f t="shared" si="1"/>
        <v>21775048.350000001</v>
      </c>
      <c r="Q18" s="4"/>
      <c r="R18" s="39"/>
      <c r="S18" s="26"/>
      <c r="T18" s="26"/>
      <c r="U18" s="26"/>
      <c r="V18" s="37" t="s">
        <v>90</v>
      </c>
      <c r="W18" s="38">
        <f t="shared" si="2"/>
        <v>0</v>
      </c>
      <c r="X18" s="38">
        <f t="shared" si="3"/>
        <v>0</v>
      </c>
      <c r="Y18" s="38">
        <f t="shared" si="4"/>
        <v>0</v>
      </c>
      <c r="Z18" s="38">
        <f t="shared" si="5"/>
        <v>0</v>
      </c>
      <c r="AA18" s="38">
        <f t="shared" si="6"/>
        <v>0</v>
      </c>
      <c r="AC18" s="37" t="s">
        <v>90</v>
      </c>
      <c r="AD18" s="38">
        <f t="shared" si="7"/>
        <v>14063</v>
      </c>
      <c r="AE18" s="38">
        <f t="shared" si="8"/>
        <v>3133</v>
      </c>
      <c r="AF18" s="38">
        <f t="shared" si="8"/>
        <v>3576</v>
      </c>
      <c r="AG18" s="38">
        <f t="shared" si="8"/>
        <v>21775</v>
      </c>
      <c r="AH18" s="38">
        <f t="shared" si="8"/>
        <v>0</v>
      </c>
      <c r="AK18" s="36" t="s">
        <v>90</v>
      </c>
      <c r="AL18" s="4">
        <v>3132511.23</v>
      </c>
      <c r="AM18" s="4">
        <v>41581341.189999998</v>
      </c>
      <c r="AN18" s="4">
        <v>54494663.759999998</v>
      </c>
      <c r="AO18" s="4">
        <v>62419011.299999997</v>
      </c>
      <c r="AP18" s="4">
        <v>38361123.600000001</v>
      </c>
      <c r="AQ18" s="4">
        <v>13916097.25</v>
      </c>
    </row>
    <row r="19" spans="1:43" ht="22" x14ac:dyDescent="0.35">
      <c r="A19" s="36" t="s">
        <v>91</v>
      </c>
      <c r="B19" s="4"/>
      <c r="C19" s="4"/>
      <c r="D19" s="4"/>
      <c r="E19" s="4"/>
      <c r="F19" s="4">
        <f t="shared" si="0"/>
        <v>0</v>
      </c>
      <c r="G19" s="39"/>
      <c r="H19" s="26">
        <f t="shared" si="9"/>
        <v>0</v>
      </c>
      <c r="I19" s="26"/>
      <c r="J19" s="26"/>
      <c r="K19" s="36" t="s">
        <v>91</v>
      </c>
      <c r="L19" s="4">
        <f>50487317-126454</f>
        <v>50360863</v>
      </c>
      <c r="M19" s="4">
        <v>7044953.6399999997</v>
      </c>
      <c r="N19" s="4">
        <v>0</v>
      </c>
      <c r="O19" s="4">
        <f>2038066.25-19741.5-2001.96</f>
        <v>2016322.79</v>
      </c>
      <c r="P19" s="4">
        <f t="shared" si="1"/>
        <v>59422139.43</v>
      </c>
      <c r="Q19" s="4">
        <f>50360863-50487317-19741.5-2001.96</f>
        <v>-148197.46</v>
      </c>
      <c r="R19" s="39"/>
      <c r="S19" s="26" t="s">
        <v>1087</v>
      </c>
      <c r="T19" s="26"/>
      <c r="U19" s="26"/>
      <c r="V19" s="37" t="s">
        <v>91</v>
      </c>
      <c r="W19" s="38">
        <f t="shared" si="2"/>
        <v>0</v>
      </c>
      <c r="X19" s="38">
        <f t="shared" si="3"/>
        <v>0</v>
      </c>
      <c r="Y19" s="38">
        <f t="shared" si="4"/>
        <v>0</v>
      </c>
      <c r="Z19" s="38">
        <f t="shared" si="5"/>
        <v>0</v>
      </c>
      <c r="AA19" s="38">
        <f t="shared" si="6"/>
        <v>0</v>
      </c>
      <c r="AC19" s="37" t="s">
        <v>91</v>
      </c>
      <c r="AD19" s="38">
        <f t="shared" si="7"/>
        <v>50361</v>
      </c>
      <c r="AE19" s="38">
        <f t="shared" si="8"/>
        <v>0</v>
      </c>
      <c r="AF19" s="38">
        <f t="shared" si="8"/>
        <v>2016</v>
      </c>
      <c r="AG19" s="38">
        <f t="shared" si="8"/>
        <v>59422</v>
      </c>
      <c r="AH19" s="38">
        <f t="shared" si="8"/>
        <v>-148</v>
      </c>
      <c r="AK19" s="36" t="s">
        <v>91</v>
      </c>
      <c r="AL19" s="4">
        <v>0</v>
      </c>
      <c r="AM19" s="4">
        <v>0</v>
      </c>
      <c r="AN19" s="4">
        <v>0</v>
      </c>
      <c r="AO19" s="4">
        <v>72868</v>
      </c>
      <c r="AP19" s="4">
        <v>0</v>
      </c>
      <c r="AQ19" s="4">
        <v>0</v>
      </c>
    </row>
    <row r="20" spans="1:43" ht="22" x14ac:dyDescent="0.35">
      <c r="A20" s="36" t="s">
        <v>92</v>
      </c>
      <c r="B20" s="4"/>
      <c r="C20" s="4"/>
      <c r="D20" s="4"/>
      <c r="E20" s="4"/>
      <c r="F20" s="4">
        <f t="shared" si="0"/>
        <v>0</v>
      </c>
      <c r="G20" s="39"/>
      <c r="H20" s="26">
        <f t="shared" si="9"/>
        <v>0</v>
      </c>
      <c r="I20" s="26"/>
      <c r="J20" s="26"/>
      <c r="K20" s="36" t="s">
        <v>92</v>
      </c>
      <c r="L20" s="4">
        <f>38012893-300000</f>
        <v>37712893</v>
      </c>
      <c r="M20" s="4">
        <v>7716187.0899999999</v>
      </c>
      <c r="N20" s="4">
        <v>0</v>
      </c>
      <c r="O20" s="4">
        <f>3499751.76-433032.63</f>
        <v>3066719.13</v>
      </c>
      <c r="P20" s="4">
        <f t="shared" si="1"/>
        <v>48495799.220000006</v>
      </c>
      <c r="Q20" s="4">
        <v>-300000</v>
      </c>
      <c r="R20" s="39"/>
      <c r="S20" s="26" t="s">
        <v>1088</v>
      </c>
      <c r="T20" s="26"/>
      <c r="U20" s="26"/>
      <c r="V20" s="37" t="s">
        <v>92</v>
      </c>
      <c r="W20" s="38">
        <f t="shared" si="2"/>
        <v>0</v>
      </c>
      <c r="X20" s="38">
        <f t="shared" si="3"/>
        <v>0</v>
      </c>
      <c r="Y20" s="38">
        <f t="shared" si="4"/>
        <v>0</v>
      </c>
      <c r="Z20" s="38">
        <f t="shared" si="5"/>
        <v>0</v>
      </c>
      <c r="AA20" s="38">
        <f t="shared" si="6"/>
        <v>0</v>
      </c>
      <c r="AC20" s="37" t="s">
        <v>92</v>
      </c>
      <c r="AD20" s="38">
        <f t="shared" si="7"/>
        <v>37713</v>
      </c>
      <c r="AE20" s="38">
        <f t="shared" si="8"/>
        <v>0</v>
      </c>
      <c r="AF20" s="38">
        <f t="shared" si="8"/>
        <v>3067</v>
      </c>
      <c r="AG20" s="38">
        <f t="shared" si="8"/>
        <v>48496</v>
      </c>
      <c r="AH20" s="38">
        <f t="shared" si="8"/>
        <v>-300</v>
      </c>
      <c r="AK20" s="36" t="s">
        <v>92</v>
      </c>
      <c r="AL20" s="4">
        <v>0</v>
      </c>
      <c r="AM20" s="4">
        <v>0</v>
      </c>
      <c r="AN20" s="4">
        <v>0</v>
      </c>
      <c r="AO20" s="4">
        <v>0</v>
      </c>
      <c r="AP20" s="4">
        <v>0</v>
      </c>
      <c r="AQ20" s="4">
        <v>0</v>
      </c>
    </row>
    <row r="21" spans="1:43" ht="22" x14ac:dyDescent="0.35">
      <c r="A21" s="36" t="s">
        <v>93</v>
      </c>
      <c r="B21" s="4"/>
      <c r="C21" s="4"/>
      <c r="D21" s="4"/>
      <c r="E21" s="4"/>
      <c r="F21" s="4">
        <f t="shared" si="0"/>
        <v>0</v>
      </c>
      <c r="G21" s="4"/>
      <c r="H21" s="26">
        <f t="shared" si="9"/>
        <v>0</v>
      </c>
      <c r="I21" s="26"/>
      <c r="J21" s="26"/>
      <c r="K21" s="36" t="s">
        <v>93</v>
      </c>
      <c r="L21" s="4">
        <f>11999841+3461062-4134598</f>
        <v>11326305</v>
      </c>
      <c r="M21" s="4">
        <v>3768165.48</v>
      </c>
      <c r="N21" s="4">
        <v>0</v>
      </c>
      <c r="O21" s="4">
        <v>1063900.52</v>
      </c>
      <c r="P21" s="4">
        <f t="shared" si="1"/>
        <v>16158371</v>
      </c>
      <c r="Q21" s="4">
        <f>11326305-15460903</f>
        <v>-4134598</v>
      </c>
      <c r="R21" s="4"/>
      <c r="S21" s="26"/>
      <c r="T21" s="26"/>
      <c r="U21" s="26"/>
      <c r="V21" s="37" t="s">
        <v>93</v>
      </c>
      <c r="W21" s="38">
        <f t="shared" si="2"/>
        <v>0</v>
      </c>
      <c r="X21" s="38">
        <f t="shared" si="3"/>
        <v>0</v>
      </c>
      <c r="Y21" s="38">
        <f t="shared" si="4"/>
        <v>0</v>
      </c>
      <c r="Z21" s="38">
        <f t="shared" si="5"/>
        <v>0</v>
      </c>
      <c r="AA21" s="38">
        <f t="shared" si="6"/>
        <v>0</v>
      </c>
      <c r="AC21" s="37" t="s">
        <v>93</v>
      </c>
      <c r="AD21" s="38">
        <f t="shared" si="7"/>
        <v>11326</v>
      </c>
      <c r="AE21" s="38">
        <f t="shared" si="8"/>
        <v>0</v>
      </c>
      <c r="AF21" s="38">
        <f t="shared" si="8"/>
        <v>1064</v>
      </c>
      <c r="AG21" s="38">
        <f t="shared" si="8"/>
        <v>16158</v>
      </c>
      <c r="AH21" s="38">
        <f t="shared" si="8"/>
        <v>-4135</v>
      </c>
      <c r="AK21" s="36" t="s">
        <v>93</v>
      </c>
      <c r="AL21" s="4">
        <v>0</v>
      </c>
      <c r="AM21" s="4">
        <v>0</v>
      </c>
      <c r="AN21" s="4">
        <v>0</v>
      </c>
      <c r="AO21" s="4">
        <v>0</v>
      </c>
      <c r="AP21" s="4">
        <v>0</v>
      </c>
      <c r="AQ21" s="4">
        <v>0</v>
      </c>
    </row>
    <row r="22" spans="1:43" x14ac:dyDescent="0.35">
      <c r="A22" s="41" t="s">
        <v>79</v>
      </c>
      <c r="B22" s="42">
        <f t="shared" ref="B22:G22" si="10">SUM(B4:B21)</f>
        <v>5852233.0300000003</v>
      </c>
      <c r="C22" s="42">
        <f t="shared" si="10"/>
        <v>44.73</v>
      </c>
      <c r="D22" s="42">
        <f t="shared" si="10"/>
        <v>0</v>
      </c>
      <c r="E22" s="42">
        <f t="shared" si="10"/>
        <v>0</v>
      </c>
      <c r="F22" s="42">
        <f t="shared" si="10"/>
        <v>5852277.7600000007</v>
      </c>
      <c r="G22" s="42">
        <f t="shared" si="10"/>
        <v>0</v>
      </c>
      <c r="H22" s="26">
        <f t="shared" si="9"/>
        <v>44.73</v>
      </c>
      <c r="I22" s="42"/>
      <c r="J22" s="42"/>
      <c r="K22" s="41" t="s">
        <v>79</v>
      </c>
      <c r="L22" s="42">
        <f t="shared" ref="L22:P22" si="11">SUM(L4:L21)</f>
        <v>523541741.04999995</v>
      </c>
      <c r="M22" s="42">
        <f t="shared" si="11"/>
        <v>121051151.31</v>
      </c>
      <c r="N22" s="42">
        <f t="shared" si="11"/>
        <v>571081947.37</v>
      </c>
      <c r="O22" s="42">
        <f t="shared" si="11"/>
        <v>438109734.65999997</v>
      </c>
      <c r="P22" s="42">
        <f t="shared" si="11"/>
        <v>1653784574.3900001</v>
      </c>
      <c r="Q22" s="42">
        <f t="shared" ref="Q22:R22" si="12">SUM(Q4:Q21)</f>
        <v>-57989997.140000001</v>
      </c>
      <c r="R22" s="42">
        <f t="shared" si="12"/>
        <v>0</v>
      </c>
      <c r="S22" s="26"/>
      <c r="T22" s="42"/>
      <c r="U22" s="42"/>
      <c r="V22" s="43" t="s">
        <v>79</v>
      </c>
      <c r="W22" s="44">
        <f t="shared" si="2"/>
        <v>5852.23</v>
      </c>
      <c r="X22" s="44">
        <f t="shared" si="3"/>
        <v>0.04</v>
      </c>
      <c r="Y22" s="44">
        <f t="shared" si="4"/>
        <v>0</v>
      </c>
      <c r="Z22" s="44">
        <f t="shared" si="5"/>
        <v>0</v>
      </c>
      <c r="AA22" s="44">
        <f t="shared" si="6"/>
        <v>5852.28</v>
      </c>
      <c r="AC22" s="43" t="s">
        <v>79</v>
      </c>
      <c r="AD22" s="44">
        <f t="shared" si="7"/>
        <v>523542</v>
      </c>
      <c r="AE22" s="44">
        <f t="shared" si="8"/>
        <v>571082</v>
      </c>
      <c r="AF22" s="44">
        <f t="shared" si="8"/>
        <v>438110</v>
      </c>
      <c r="AG22" s="44">
        <f t="shared" si="8"/>
        <v>1653785</v>
      </c>
      <c r="AH22" s="44">
        <f t="shared" si="8"/>
        <v>-57990</v>
      </c>
      <c r="AK22" s="41" t="s">
        <v>79</v>
      </c>
      <c r="AL22" s="42">
        <f t="shared" ref="AL22:AQ22" si="13">SUM(AL4:AL21)</f>
        <v>571081947.37</v>
      </c>
      <c r="AM22" s="42">
        <f t="shared" si="13"/>
        <v>438620326.19999999</v>
      </c>
      <c r="AN22" s="42">
        <f t="shared" si="13"/>
        <v>363819415.45999998</v>
      </c>
      <c r="AO22" s="42">
        <f t="shared" si="13"/>
        <v>281302460.19999999</v>
      </c>
      <c r="AP22" s="42">
        <f t="shared" si="13"/>
        <v>192399649.35999998</v>
      </c>
      <c r="AQ22" s="42">
        <f t="shared" si="13"/>
        <v>161101658.36999997</v>
      </c>
    </row>
    <row r="23" spans="1:43" x14ac:dyDescent="0.35">
      <c r="A23" s="26"/>
      <c r="H23" s="26"/>
      <c r="I23" s="26"/>
      <c r="J23" s="4"/>
      <c r="K23" s="26" t="s">
        <v>872</v>
      </c>
      <c r="L23" s="2">
        <v>581233532</v>
      </c>
      <c r="M23" s="2">
        <v>121049512</v>
      </c>
      <c r="N23" s="2">
        <v>571081947</v>
      </c>
      <c r="O23" s="2">
        <v>438409585</v>
      </c>
      <c r="P23" s="2">
        <v>1711774576</v>
      </c>
      <c r="Q23" s="2"/>
      <c r="R23" s="26"/>
      <c r="S23" s="26"/>
      <c r="T23" s="4"/>
      <c r="U23" s="4"/>
      <c r="AG23" s="233">
        <f t="shared" si="8"/>
        <v>1711775</v>
      </c>
    </row>
    <row r="24" spans="1:43" x14ac:dyDescent="0.35">
      <c r="A24" s="26"/>
      <c r="H24" s="26"/>
      <c r="I24" s="26"/>
      <c r="J24" s="26"/>
      <c r="K24" s="26"/>
      <c r="L24" s="2">
        <f>L22-L23</f>
        <v>-57691790.950000048</v>
      </c>
      <c r="M24" s="2">
        <f t="shared" ref="M24:Q24" si="14">M22-M23</f>
        <v>1639.3100000023842</v>
      </c>
      <c r="N24" s="2">
        <f t="shared" si="14"/>
        <v>0.37000000476837158</v>
      </c>
      <c r="O24" s="2">
        <f t="shared" si="14"/>
        <v>-299850.34000003338</v>
      </c>
      <c r="P24" s="2">
        <f t="shared" si="14"/>
        <v>-57990001.609999895</v>
      </c>
      <c r="Q24" s="2">
        <f t="shared" si="14"/>
        <v>-57989997.140000001</v>
      </c>
      <c r="R24" s="26"/>
      <c r="S24" s="26"/>
      <c r="T24" s="26"/>
      <c r="U24" s="26"/>
    </row>
    <row r="25" spans="1:43" x14ac:dyDescent="0.35">
      <c r="A25" s="26"/>
      <c r="H25" s="26"/>
      <c r="I25" s="26"/>
      <c r="J25" s="26"/>
      <c r="K25" s="26"/>
      <c r="R25" s="26"/>
      <c r="S25" s="26"/>
      <c r="T25" s="26"/>
    </row>
    <row r="26" spans="1:43" x14ac:dyDescent="0.35">
      <c r="A26" s="26"/>
      <c r="H26" s="26"/>
      <c r="I26" s="26"/>
      <c r="J26" s="26"/>
      <c r="K26" s="26"/>
      <c r="R26" s="26"/>
      <c r="S26" s="26"/>
      <c r="T26" s="26"/>
      <c r="U26" s="26"/>
    </row>
    <row r="27" spans="1:43" x14ac:dyDescent="0.35">
      <c r="A27" s="26"/>
      <c r="B27" s="1"/>
      <c r="H27" s="26"/>
      <c r="I27" s="26"/>
      <c r="J27" s="26"/>
      <c r="K27" s="26"/>
      <c r="L27" s="1"/>
      <c r="M27" s="1"/>
      <c r="R27" s="26"/>
      <c r="S27" s="26"/>
      <c r="T27" s="26"/>
      <c r="U27" s="26"/>
    </row>
    <row r="28" spans="1:43" x14ac:dyDescent="0.35">
      <c r="A28" s="26"/>
      <c r="H28" s="26"/>
      <c r="I28" s="26"/>
      <c r="J28" s="26"/>
      <c r="K28" s="26"/>
      <c r="R28" s="26"/>
      <c r="S28" s="26"/>
      <c r="T28" s="26"/>
      <c r="U28" s="26"/>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80710-4915-4365-B6C7-C335B206E1DC}">
  <dimension ref="A1:P210"/>
  <sheetViews>
    <sheetView topLeftCell="A22" workbookViewId="0">
      <selection activeCell="I45" sqref="I45"/>
    </sheetView>
  </sheetViews>
  <sheetFormatPr defaultRowHeight="14.5" x14ac:dyDescent="0.35"/>
  <cols>
    <col min="1" max="1" width="30.81640625" customWidth="1"/>
    <col min="3" max="3" width="37.26953125" customWidth="1"/>
    <col min="4" max="7" width="16.7265625" customWidth="1"/>
    <col min="8" max="8" width="12.7265625" customWidth="1"/>
    <col min="9" max="9" width="12.453125" bestFit="1" customWidth="1"/>
    <col min="11" max="11" width="38.7265625" customWidth="1"/>
    <col min="12" max="12" width="14.1796875" customWidth="1"/>
    <col min="13" max="13" width="15" customWidth="1"/>
    <col min="14" max="14" width="15.1796875" customWidth="1"/>
    <col min="15" max="15" width="14.26953125" bestFit="1" customWidth="1"/>
    <col min="16" max="16" width="13.26953125" bestFit="1" customWidth="1"/>
  </cols>
  <sheetData>
    <row r="1" spans="1:16" x14ac:dyDescent="0.35">
      <c r="A1" s="51" t="s">
        <v>1092</v>
      </c>
      <c r="D1" s="26"/>
      <c r="E1" s="26"/>
      <c r="F1" s="26"/>
      <c r="G1" s="26"/>
      <c r="H1" s="26"/>
      <c r="I1" s="26"/>
      <c r="K1" s="52" t="s">
        <v>112</v>
      </c>
      <c r="L1" s="26"/>
      <c r="M1" s="26"/>
      <c r="N1" s="26"/>
    </row>
    <row r="2" spans="1:16" x14ac:dyDescent="0.35">
      <c r="D2" s="26">
        <f t="shared" ref="D2:I2" si="0">SUBTOTAL(9,D4:D104)</f>
        <v>34052742.219999999</v>
      </c>
      <c r="E2" s="26">
        <f t="shared" si="0"/>
        <v>161307483.95000002</v>
      </c>
      <c r="F2" s="26">
        <f t="shared" si="0"/>
        <v>165892325.25999999</v>
      </c>
      <c r="G2" s="26">
        <f t="shared" si="0"/>
        <v>29467900.91</v>
      </c>
      <c r="H2" s="26">
        <f t="shared" si="0"/>
        <v>135100</v>
      </c>
      <c r="I2" s="26">
        <f t="shared" si="0"/>
        <v>0</v>
      </c>
      <c r="K2" s="26"/>
      <c r="L2" s="26"/>
      <c r="M2" s="26" t="s">
        <v>1144</v>
      </c>
      <c r="N2" s="26" t="s">
        <v>893</v>
      </c>
      <c r="O2" s="26"/>
    </row>
    <row r="3" spans="1:16" x14ac:dyDescent="0.35">
      <c r="A3" s="3" t="s">
        <v>113</v>
      </c>
      <c r="B3" s="3" t="s">
        <v>114</v>
      </c>
      <c r="C3" s="3" t="s">
        <v>115</v>
      </c>
      <c r="D3" s="53" t="s">
        <v>930</v>
      </c>
      <c r="E3" s="53" t="s">
        <v>931</v>
      </c>
      <c r="F3" s="53" t="s">
        <v>116</v>
      </c>
      <c r="G3" s="53" t="s">
        <v>117</v>
      </c>
      <c r="H3" s="53" t="s">
        <v>118</v>
      </c>
      <c r="I3" s="53" t="s">
        <v>925</v>
      </c>
      <c r="K3" s="26" t="s">
        <v>932</v>
      </c>
      <c r="L3" s="26">
        <v>34052742</v>
      </c>
      <c r="M3" s="26"/>
      <c r="N3" s="26"/>
    </row>
    <row r="4" spans="1:16" x14ac:dyDescent="0.35">
      <c r="A4" s="3" t="s">
        <v>853</v>
      </c>
      <c r="B4" s="3">
        <v>104</v>
      </c>
      <c r="C4" s="232" t="s">
        <v>945</v>
      </c>
      <c r="D4" s="53">
        <v>44205.4</v>
      </c>
      <c r="E4" s="53">
        <v>0</v>
      </c>
      <c r="F4" s="53"/>
      <c r="G4" s="53">
        <f t="shared" ref="G4:G79" si="1">D4+E4-F4</f>
        <v>44205.4</v>
      </c>
      <c r="H4" s="53"/>
      <c r="I4" s="53"/>
      <c r="J4" s="26"/>
      <c r="K4" s="26" t="s">
        <v>933</v>
      </c>
      <c r="L4" s="26">
        <v>19272544</v>
      </c>
      <c r="M4" s="26"/>
      <c r="N4" s="26">
        <v>19272544</v>
      </c>
      <c r="O4" s="26"/>
      <c r="P4" s="26"/>
    </row>
    <row r="5" spans="1:16" x14ac:dyDescent="0.35">
      <c r="A5" s="3" t="s">
        <v>853</v>
      </c>
      <c r="B5" s="249">
        <v>29</v>
      </c>
      <c r="C5" s="232" t="s">
        <v>945</v>
      </c>
      <c r="D5" s="53">
        <v>0</v>
      </c>
      <c r="E5" s="53">
        <v>500000</v>
      </c>
      <c r="F5" s="53">
        <f>150000+107031.5</f>
        <v>257031.5</v>
      </c>
      <c r="G5" s="53">
        <f t="shared" si="1"/>
        <v>242968.5</v>
      </c>
      <c r="H5" s="53">
        <v>0</v>
      </c>
      <c r="I5" s="53"/>
      <c r="J5" s="26"/>
      <c r="K5" s="26" t="s">
        <v>119</v>
      </c>
      <c r="L5" s="26">
        <v>141157691.78999999</v>
      </c>
      <c r="M5" s="26"/>
      <c r="N5" s="26">
        <v>141159692</v>
      </c>
      <c r="O5" s="26"/>
    </row>
    <row r="6" spans="1:16" x14ac:dyDescent="0.35">
      <c r="A6" s="3" t="s">
        <v>853</v>
      </c>
      <c r="B6" s="3">
        <v>67</v>
      </c>
      <c r="C6" s="3" t="s">
        <v>1095</v>
      </c>
      <c r="D6" s="53">
        <v>0</v>
      </c>
      <c r="E6" s="53">
        <v>140000</v>
      </c>
      <c r="F6" s="53">
        <v>4900</v>
      </c>
      <c r="G6" s="53">
        <f t="shared" si="1"/>
        <v>135100</v>
      </c>
      <c r="H6" s="53">
        <v>135100</v>
      </c>
      <c r="I6" s="53">
        <v>0</v>
      </c>
      <c r="J6" s="26"/>
      <c r="K6" s="26" t="s">
        <v>892</v>
      </c>
      <c r="L6" s="26">
        <v>52002680</v>
      </c>
      <c r="M6" s="26"/>
      <c r="N6" s="26">
        <v>52002962</v>
      </c>
    </row>
    <row r="7" spans="1:16" x14ac:dyDescent="0.35">
      <c r="A7" s="3" t="s">
        <v>849</v>
      </c>
      <c r="B7" s="3">
        <v>88</v>
      </c>
      <c r="C7" s="3" t="s">
        <v>946</v>
      </c>
      <c r="D7" s="53">
        <v>17597</v>
      </c>
      <c r="E7" s="53">
        <v>0</v>
      </c>
      <c r="F7" s="53">
        <v>17597</v>
      </c>
      <c r="G7" s="53">
        <f t="shared" si="1"/>
        <v>0</v>
      </c>
      <c r="H7" s="53">
        <v>0</v>
      </c>
      <c r="I7" s="53">
        <v>0</v>
      </c>
      <c r="J7" s="26"/>
      <c r="K7" s="26" t="s">
        <v>909</v>
      </c>
      <c r="L7" s="26"/>
      <c r="M7" s="26"/>
      <c r="N7" s="26"/>
    </row>
    <row r="8" spans="1:16" x14ac:dyDescent="0.35">
      <c r="A8" s="3" t="s">
        <v>849</v>
      </c>
      <c r="B8" s="3">
        <v>63</v>
      </c>
      <c r="C8" s="3" t="s">
        <v>1096</v>
      </c>
      <c r="D8" s="53">
        <v>0</v>
      </c>
      <c r="E8" s="53">
        <v>21679</v>
      </c>
      <c r="F8" s="53">
        <v>20284</v>
      </c>
      <c r="G8" s="53">
        <f t="shared" si="1"/>
        <v>1395</v>
      </c>
      <c r="H8" s="53"/>
      <c r="I8" s="53"/>
      <c r="J8" s="26"/>
      <c r="K8" s="26" t="s">
        <v>944</v>
      </c>
      <c r="L8" s="26">
        <f>-1220308-15406654</f>
        <v>-16626962</v>
      </c>
      <c r="M8" s="26"/>
      <c r="N8" s="26">
        <f>-1220308-15406654</f>
        <v>-16626962</v>
      </c>
      <c r="O8" s="26"/>
    </row>
    <row r="9" spans="1:16" x14ac:dyDescent="0.35">
      <c r="A9" s="3" t="s">
        <v>46</v>
      </c>
      <c r="B9" s="3">
        <v>73</v>
      </c>
      <c r="C9" s="3" t="s">
        <v>850</v>
      </c>
      <c r="D9" s="53">
        <v>7258</v>
      </c>
      <c r="E9" s="53">
        <v>0</v>
      </c>
      <c r="F9" s="53">
        <v>7258</v>
      </c>
      <c r="G9" s="53">
        <f t="shared" si="1"/>
        <v>0</v>
      </c>
      <c r="H9" s="53">
        <v>0</v>
      </c>
      <c r="I9" s="53">
        <v>0</v>
      </c>
      <c r="J9" s="26"/>
      <c r="K9" s="26"/>
      <c r="L9" s="26"/>
      <c r="M9" s="26"/>
      <c r="N9" s="26"/>
      <c r="O9" s="26"/>
    </row>
    <row r="10" spans="1:16" x14ac:dyDescent="0.35">
      <c r="A10" s="3" t="s">
        <v>47</v>
      </c>
      <c r="B10" s="3">
        <v>108</v>
      </c>
      <c r="C10" s="232" t="s">
        <v>947</v>
      </c>
      <c r="D10" s="53">
        <v>140526.79</v>
      </c>
      <c r="E10" s="53">
        <v>0</v>
      </c>
      <c r="F10" s="53">
        <v>140526.79</v>
      </c>
      <c r="G10" s="53">
        <f t="shared" si="1"/>
        <v>0</v>
      </c>
      <c r="H10" s="53">
        <v>0</v>
      </c>
      <c r="I10" s="53">
        <v>0</v>
      </c>
      <c r="J10" s="26"/>
      <c r="K10" s="55" t="s">
        <v>120</v>
      </c>
      <c r="L10" s="55">
        <f>SUM(L4:L8)</f>
        <v>195805953.78999999</v>
      </c>
      <c r="M10" s="55">
        <f>L10+VR!N9</f>
        <v>211371801.78999999</v>
      </c>
      <c r="N10" s="55"/>
      <c r="O10" s="26"/>
      <c r="P10" s="26"/>
    </row>
    <row r="11" spans="1:16" x14ac:dyDescent="0.35">
      <c r="A11" s="3" t="s">
        <v>47</v>
      </c>
      <c r="B11" s="3">
        <v>21.46</v>
      </c>
      <c r="C11" s="232" t="s">
        <v>1097</v>
      </c>
      <c r="D11" s="53">
        <v>0</v>
      </c>
      <c r="E11" s="53">
        <v>802753</v>
      </c>
      <c r="F11" s="53">
        <v>484953.59999999998</v>
      </c>
      <c r="G11" s="53">
        <f t="shared" si="1"/>
        <v>317799.40000000002</v>
      </c>
      <c r="H11" s="53"/>
      <c r="I11" s="53"/>
      <c r="J11" s="26"/>
      <c r="K11" s="26" t="s">
        <v>121</v>
      </c>
      <c r="L11" s="26">
        <f>E2</f>
        <v>161307483.95000002</v>
      </c>
      <c r="M11" s="26"/>
      <c r="N11" s="26">
        <v>161307484</v>
      </c>
      <c r="O11" s="26">
        <f>N11-L11</f>
        <v>4.9999982118606567E-2</v>
      </c>
      <c r="P11" s="26">
        <f>122422-O11</f>
        <v>122421.95000001788</v>
      </c>
    </row>
    <row r="12" spans="1:16" x14ac:dyDescent="0.35">
      <c r="A12" s="3" t="s">
        <v>47</v>
      </c>
      <c r="B12" s="3">
        <v>70</v>
      </c>
      <c r="C12" s="3" t="s">
        <v>1098</v>
      </c>
      <c r="D12" s="53">
        <v>0</v>
      </c>
      <c r="E12" s="53">
        <v>150000</v>
      </c>
      <c r="F12" s="53">
        <v>31700</v>
      </c>
      <c r="G12" s="53">
        <f t="shared" ref="G12" si="2">D12+E12-F12</f>
        <v>118300</v>
      </c>
      <c r="H12" s="53"/>
      <c r="I12" s="53"/>
      <c r="J12" s="26"/>
      <c r="K12" s="26" t="s">
        <v>1091</v>
      </c>
      <c r="L12" s="26">
        <f>F2*-1-N12</f>
        <v>-165892325.25999999</v>
      </c>
      <c r="M12" s="26"/>
      <c r="N12" s="26"/>
    </row>
    <row r="13" spans="1:16" x14ac:dyDescent="0.35">
      <c r="A13" s="3" t="s">
        <v>85</v>
      </c>
      <c r="B13" s="3">
        <v>86</v>
      </c>
      <c r="C13" s="3" t="s">
        <v>1099</v>
      </c>
      <c r="D13" s="53">
        <v>0</v>
      </c>
      <c r="E13" s="53">
        <v>340990</v>
      </c>
      <c r="F13" s="53">
        <v>340990</v>
      </c>
      <c r="G13" s="53">
        <f t="shared" si="1"/>
        <v>0</v>
      </c>
      <c r="H13" s="53">
        <v>0</v>
      </c>
      <c r="I13" s="53">
        <v>0</v>
      </c>
      <c r="J13" s="26"/>
      <c r="K13" s="26"/>
      <c r="L13" s="26"/>
      <c r="M13" s="56"/>
      <c r="N13" s="26"/>
    </row>
    <row r="14" spans="1:16" x14ac:dyDescent="0.35">
      <c r="A14" s="3" t="s">
        <v>85</v>
      </c>
      <c r="B14" s="3">
        <v>88</v>
      </c>
      <c r="C14" s="3" t="s">
        <v>1100</v>
      </c>
      <c r="D14" s="53">
        <v>0</v>
      </c>
      <c r="E14" s="53">
        <v>3084989.1</v>
      </c>
      <c r="F14" s="53">
        <v>3084989.1</v>
      </c>
      <c r="G14" s="53">
        <f t="shared" si="1"/>
        <v>0</v>
      </c>
      <c r="H14" s="53">
        <v>0</v>
      </c>
      <c r="I14" s="53">
        <v>0</v>
      </c>
      <c r="J14" s="26"/>
      <c r="K14" s="52" t="s">
        <v>122</v>
      </c>
      <c r="L14" s="52">
        <f>L10-L11</f>
        <v>34498469.839999974</v>
      </c>
      <c r="M14" s="237">
        <f>L14+VR!N15</f>
        <v>36894067.839999974</v>
      </c>
      <c r="N14" s="52">
        <v>34498471</v>
      </c>
      <c r="O14" s="26">
        <f>N14-L14</f>
        <v>1.1600000262260437</v>
      </c>
      <c r="P14" s="26"/>
    </row>
    <row r="15" spans="1:16" x14ac:dyDescent="0.35">
      <c r="A15" s="3" t="s">
        <v>1044</v>
      </c>
      <c r="B15" s="3">
        <v>91</v>
      </c>
      <c r="C15" s="3" t="s">
        <v>958</v>
      </c>
      <c r="D15" s="53">
        <v>112688</v>
      </c>
      <c r="E15" s="53">
        <v>0</v>
      </c>
      <c r="F15" s="53">
        <v>112688</v>
      </c>
      <c r="G15" s="53">
        <f t="shared" ref="G15:G17" si="3">D15+E15-F15</f>
        <v>0</v>
      </c>
      <c r="H15" s="53">
        <v>0</v>
      </c>
      <c r="I15" s="53">
        <v>0</v>
      </c>
      <c r="J15" s="26" t="s">
        <v>1093</v>
      </c>
      <c r="K15" s="52"/>
      <c r="L15" s="52"/>
      <c r="M15" s="65" t="s">
        <v>912</v>
      </c>
      <c r="N15" s="26"/>
    </row>
    <row r="16" spans="1:16" x14ac:dyDescent="0.35">
      <c r="A16" s="3" t="s">
        <v>1044</v>
      </c>
      <c r="B16" s="3">
        <v>112</v>
      </c>
      <c r="C16" s="232" t="s">
        <v>959</v>
      </c>
      <c r="D16" s="53">
        <v>498985</v>
      </c>
      <c r="E16" s="53">
        <v>0</v>
      </c>
      <c r="F16" s="53">
        <v>498984.83</v>
      </c>
      <c r="G16" s="53">
        <f t="shared" si="3"/>
        <v>0.16999999998370185</v>
      </c>
      <c r="H16" s="53">
        <v>0</v>
      </c>
      <c r="I16" s="53">
        <v>0</v>
      </c>
      <c r="J16" s="26" t="s">
        <v>1093</v>
      </c>
      <c r="K16" s="52" t="s">
        <v>123</v>
      </c>
      <c r="L16" s="52">
        <f>L3+L11+L12</f>
        <v>29467900.690000027</v>
      </c>
      <c r="M16" s="26"/>
      <c r="N16" s="52"/>
    </row>
    <row r="17" spans="1:14" x14ac:dyDescent="0.35">
      <c r="A17" s="3" t="s">
        <v>1044</v>
      </c>
      <c r="B17" s="3">
        <v>1</v>
      </c>
      <c r="C17" s="232" t="s">
        <v>960</v>
      </c>
      <c r="D17" s="53">
        <v>312359</v>
      </c>
      <c r="E17" s="53">
        <v>0</v>
      </c>
      <c r="F17" s="53">
        <v>198557.97</v>
      </c>
      <c r="G17" s="53">
        <f t="shared" si="3"/>
        <v>113801.03</v>
      </c>
      <c r="H17" s="53"/>
      <c r="I17" s="53"/>
      <c r="J17" s="26" t="s">
        <v>1093</v>
      </c>
      <c r="K17" s="26"/>
      <c r="L17" s="26"/>
      <c r="M17" s="26"/>
      <c r="N17" s="26"/>
    </row>
    <row r="18" spans="1:14" x14ac:dyDescent="0.35">
      <c r="A18" s="3" t="s">
        <v>1044</v>
      </c>
      <c r="B18" s="3">
        <v>30</v>
      </c>
      <c r="C18" s="232" t="s">
        <v>1101</v>
      </c>
      <c r="D18" s="53">
        <v>0</v>
      </c>
      <c r="E18" s="53">
        <v>1585711</v>
      </c>
      <c r="F18" s="53">
        <v>1170965.32</v>
      </c>
      <c r="G18" s="53">
        <f t="shared" ref="G18:G22" si="4">D18+E18-F18</f>
        <v>414745.67999999993</v>
      </c>
      <c r="H18" s="53"/>
      <c r="I18" s="53"/>
      <c r="J18" s="26"/>
      <c r="L18" s="26"/>
      <c r="M18" s="26"/>
      <c r="N18" s="26"/>
    </row>
    <row r="19" spans="1:14" x14ac:dyDescent="0.35">
      <c r="A19" s="3" t="s">
        <v>1044</v>
      </c>
      <c r="B19" s="3">
        <v>41</v>
      </c>
      <c r="C19" s="232" t="s">
        <v>1102</v>
      </c>
      <c r="D19" s="53">
        <v>0</v>
      </c>
      <c r="E19" s="53">
        <v>582292</v>
      </c>
      <c r="F19" s="53">
        <v>582003.54</v>
      </c>
      <c r="G19" s="53">
        <f t="shared" si="4"/>
        <v>288.45999999996275</v>
      </c>
      <c r="H19" s="53"/>
      <c r="I19" s="53"/>
      <c r="J19" s="26"/>
      <c r="L19" s="26"/>
      <c r="M19" s="26"/>
      <c r="N19" s="26"/>
    </row>
    <row r="20" spans="1:14" x14ac:dyDescent="0.35">
      <c r="A20" s="3" t="s">
        <v>1044</v>
      </c>
      <c r="B20" s="3">
        <v>87</v>
      </c>
      <c r="C20" s="232" t="s">
        <v>1103</v>
      </c>
      <c r="D20" s="53">
        <v>0</v>
      </c>
      <c r="E20" s="53">
        <v>519593</v>
      </c>
      <c r="F20" s="53">
        <v>106706.7</v>
      </c>
      <c r="G20" s="53">
        <f t="shared" si="4"/>
        <v>412886.3</v>
      </c>
      <c r="H20" s="53"/>
      <c r="I20" s="53"/>
      <c r="J20" s="26"/>
      <c r="L20" s="26"/>
      <c r="M20" s="26"/>
      <c r="N20" s="26"/>
    </row>
    <row r="21" spans="1:14" x14ac:dyDescent="0.35">
      <c r="A21" s="3" t="s">
        <v>1044</v>
      </c>
      <c r="B21" s="3">
        <v>88</v>
      </c>
      <c r="C21" s="232" t="s">
        <v>1100</v>
      </c>
      <c r="D21" s="53">
        <v>0</v>
      </c>
      <c r="E21" s="53">
        <v>63455.98</v>
      </c>
      <c r="F21" s="53">
        <v>63455.98</v>
      </c>
      <c r="G21" s="53">
        <f t="shared" si="4"/>
        <v>0</v>
      </c>
      <c r="H21" s="53">
        <v>0</v>
      </c>
      <c r="I21" s="53">
        <v>0</v>
      </c>
      <c r="J21" s="26"/>
      <c r="K21" s="26"/>
      <c r="L21" s="26"/>
      <c r="M21" s="26"/>
      <c r="N21" s="26"/>
    </row>
    <row r="22" spans="1:14" x14ac:dyDescent="0.35">
      <c r="A22" s="3" t="s">
        <v>87</v>
      </c>
      <c r="B22" s="3">
        <v>77</v>
      </c>
      <c r="C22" s="3" t="s">
        <v>949</v>
      </c>
      <c r="D22" s="53">
        <v>88344</v>
      </c>
      <c r="E22" s="53">
        <v>0</v>
      </c>
      <c r="F22" s="53">
        <v>88344</v>
      </c>
      <c r="G22" s="53">
        <f t="shared" si="4"/>
        <v>0</v>
      </c>
      <c r="H22" s="53">
        <v>0</v>
      </c>
      <c r="I22" s="53">
        <v>0</v>
      </c>
      <c r="J22" s="26"/>
      <c r="K22" s="52" t="s">
        <v>124</v>
      </c>
      <c r="L22" s="52">
        <f>H2-N22</f>
        <v>135100</v>
      </c>
      <c r="M22" s="52"/>
      <c r="N22" s="52"/>
    </row>
    <row r="23" spans="1:14" x14ac:dyDescent="0.35">
      <c r="A23" s="3" t="s">
        <v>878</v>
      </c>
      <c r="B23" s="3">
        <v>70</v>
      </c>
      <c r="C23" s="229" t="s">
        <v>955</v>
      </c>
      <c r="D23" s="53">
        <v>36316</v>
      </c>
      <c r="E23" s="53">
        <v>0</v>
      </c>
      <c r="F23" s="53">
        <v>36316</v>
      </c>
      <c r="G23" s="53">
        <f t="shared" si="1"/>
        <v>0</v>
      </c>
      <c r="H23" s="53">
        <v>0</v>
      </c>
      <c r="I23" s="53">
        <v>0</v>
      </c>
      <c r="J23" s="26"/>
      <c r="K23" s="52" t="s">
        <v>125</v>
      </c>
      <c r="L23" s="52">
        <f>I2</f>
        <v>0</v>
      </c>
      <c r="M23" s="52">
        <f>L23+VR!J2</f>
        <v>0</v>
      </c>
      <c r="N23" s="52"/>
    </row>
    <row r="24" spans="1:14" x14ac:dyDescent="0.35">
      <c r="A24" s="3" t="s">
        <v>878</v>
      </c>
      <c r="B24" s="3">
        <v>75</v>
      </c>
      <c r="C24" s="3" t="s">
        <v>950</v>
      </c>
      <c r="D24" s="53">
        <v>145339</v>
      </c>
      <c r="E24" s="53">
        <v>0</v>
      </c>
      <c r="F24" s="53">
        <v>145339</v>
      </c>
      <c r="G24" s="53">
        <f t="shared" si="1"/>
        <v>0</v>
      </c>
      <c r="H24" s="53">
        <v>0</v>
      </c>
      <c r="I24" s="53">
        <v>0</v>
      </c>
      <c r="J24" s="26"/>
      <c r="K24" s="52" t="s">
        <v>126</v>
      </c>
      <c r="L24" s="52">
        <f>L23+L14</f>
        <v>34498469.839999974</v>
      </c>
      <c r="M24" s="52">
        <f>L24+VR!N22</f>
        <v>36894067.839999974</v>
      </c>
      <c r="N24" s="52"/>
    </row>
    <row r="25" spans="1:14" x14ac:dyDescent="0.35">
      <c r="A25" s="3" t="s">
        <v>878</v>
      </c>
      <c r="B25" s="3">
        <v>76</v>
      </c>
      <c r="C25" s="3" t="s">
        <v>951</v>
      </c>
      <c r="D25" s="53">
        <v>8636000</v>
      </c>
      <c r="E25" s="53">
        <v>0</v>
      </c>
      <c r="F25" s="53">
        <v>8636000</v>
      </c>
      <c r="G25" s="53">
        <f t="shared" si="1"/>
        <v>0</v>
      </c>
      <c r="H25" s="53">
        <v>0</v>
      </c>
      <c r="I25" s="53">
        <v>0</v>
      </c>
      <c r="J25" s="26"/>
      <c r="K25" s="26"/>
      <c r="L25" s="26"/>
      <c r="M25" s="26"/>
      <c r="N25" s="26"/>
    </row>
    <row r="26" spans="1:14" x14ac:dyDescent="0.35">
      <c r="A26" s="3" t="s">
        <v>878</v>
      </c>
      <c r="B26" s="3">
        <v>114</v>
      </c>
      <c r="C26" s="232" t="s">
        <v>952</v>
      </c>
      <c r="D26" s="53">
        <v>51083</v>
      </c>
      <c r="E26" s="53">
        <v>0</v>
      </c>
      <c r="F26" s="53">
        <v>51083</v>
      </c>
      <c r="G26" s="53">
        <f t="shared" si="1"/>
        <v>0</v>
      </c>
      <c r="H26" s="53">
        <v>0</v>
      </c>
      <c r="I26" s="53">
        <v>0</v>
      </c>
      <c r="J26" s="26"/>
      <c r="K26" s="26"/>
      <c r="L26" s="52"/>
      <c r="M26" s="26"/>
      <c r="N26" s="26"/>
    </row>
    <row r="27" spans="1:14" x14ac:dyDescent="0.35">
      <c r="A27" s="3" t="s">
        <v>878</v>
      </c>
      <c r="B27" s="3">
        <v>117</v>
      </c>
      <c r="C27" s="232" t="s">
        <v>953</v>
      </c>
      <c r="D27" s="53">
        <v>576678</v>
      </c>
      <c r="E27" s="53">
        <v>0</v>
      </c>
      <c r="F27" s="53">
        <f>183720+337088</f>
        <v>520808</v>
      </c>
      <c r="G27" s="53">
        <f t="shared" si="1"/>
        <v>55870</v>
      </c>
      <c r="H27" s="53"/>
      <c r="I27" s="53"/>
      <c r="J27" s="26"/>
      <c r="K27" s="26"/>
      <c r="L27" s="26"/>
      <c r="M27" s="26"/>
      <c r="N27" s="26"/>
    </row>
    <row r="28" spans="1:14" x14ac:dyDescent="0.35">
      <c r="A28" s="3" t="s">
        <v>878</v>
      </c>
      <c r="B28" s="3">
        <v>119</v>
      </c>
      <c r="C28" s="232" t="s">
        <v>954</v>
      </c>
      <c r="D28" s="53">
        <v>3379545</v>
      </c>
      <c r="E28" s="53">
        <v>0</v>
      </c>
      <c r="F28" s="53">
        <f>3223628+155916.58</f>
        <v>3379544.58</v>
      </c>
      <c r="G28" s="53">
        <f t="shared" si="1"/>
        <v>0.41999999992549419</v>
      </c>
      <c r="H28" s="53">
        <v>0</v>
      </c>
      <c r="I28" s="53">
        <v>0</v>
      </c>
      <c r="J28" s="26"/>
      <c r="K28" s="26"/>
      <c r="L28" s="26"/>
      <c r="M28" s="26"/>
      <c r="N28" s="26"/>
    </row>
    <row r="29" spans="1:14" x14ac:dyDescent="0.35">
      <c r="A29" s="3" t="s">
        <v>878</v>
      </c>
      <c r="B29" s="3">
        <v>16</v>
      </c>
      <c r="C29" s="229" t="s">
        <v>1104</v>
      </c>
      <c r="D29" s="53">
        <v>0</v>
      </c>
      <c r="E29" s="53">
        <v>4820000</v>
      </c>
      <c r="F29" s="53">
        <v>785548.98</v>
      </c>
      <c r="G29" s="53">
        <f t="shared" si="1"/>
        <v>4034451.02</v>
      </c>
      <c r="H29" s="234"/>
      <c r="I29" s="53"/>
      <c r="J29" s="26"/>
      <c r="K29" s="26"/>
      <c r="L29" s="26"/>
      <c r="M29" s="26"/>
      <c r="N29" s="26"/>
    </row>
    <row r="30" spans="1:14" x14ac:dyDescent="0.35">
      <c r="A30" s="3" t="s">
        <v>878</v>
      </c>
      <c r="B30" s="3">
        <v>22</v>
      </c>
      <c r="C30" s="229" t="s">
        <v>1105</v>
      </c>
      <c r="D30" s="53">
        <v>0</v>
      </c>
      <c r="E30" s="53">
        <v>21000</v>
      </c>
      <c r="F30" s="53">
        <v>0</v>
      </c>
      <c r="G30" s="53">
        <f t="shared" ref="G30" si="5">D30+E30-F30</f>
        <v>21000</v>
      </c>
      <c r="H30" s="53"/>
      <c r="I30" s="53"/>
      <c r="J30" s="26"/>
      <c r="K30" s="26"/>
      <c r="L30" s="26"/>
      <c r="M30" s="26"/>
      <c r="N30" s="26"/>
    </row>
    <row r="31" spans="1:14" x14ac:dyDescent="0.35">
      <c r="A31" s="3" t="s">
        <v>878</v>
      </c>
      <c r="B31" s="3">
        <v>27</v>
      </c>
      <c r="C31" s="229" t="s">
        <v>1106</v>
      </c>
      <c r="D31" s="53">
        <v>0</v>
      </c>
      <c r="E31" s="53">
        <v>72000</v>
      </c>
      <c r="F31" s="53">
        <v>72000</v>
      </c>
      <c r="G31" s="53">
        <f t="shared" si="1"/>
        <v>0</v>
      </c>
      <c r="H31" s="53">
        <v>0</v>
      </c>
      <c r="I31" s="53">
        <v>0</v>
      </c>
      <c r="J31" s="26"/>
      <c r="K31" s="26"/>
      <c r="L31" s="26"/>
      <c r="M31" s="26"/>
      <c r="N31" s="26"/>
    </row>
    <row r="32" spans="1:14" x14ac:dyDescent="0.35">
      <c r="A32" s="3" t="s">
        <v>878</v>
      </c>
      <c r="B32" s="3">
        <v>39</v>
      </c>
      <c r="C32" s="229" t="s">
        <v>1111</v>
      </c>
      <c r="D32" s="53">
        <v>0</v>
      </c>
      <c r="E32" s="53">
        <v>13432951</v>
      </c>
      <c r="F32" s="53">
        <f>7743915+730788.6</f>
        <v>8474703.5999999996</v>
      </c>
      <c r="G32" s="53">
        <f t="shared" si="1"/>
        <v>4958247.4000000004</v>
      </c>
      <c r="H32" s="53"/>
      <c r="I32" s="53"/>
      <c r="J32" s="26"/>
      <c r="K32" s="26"/>
      <c r="L32" s="26"/>
      <c r="M32" s="26"/>
      <c r="N32" s="26"/>
    </row>
    <row r="33" spans="1:14" x14ac:dyDescent="0.35">
      <c r="A33" s="3" t="s">
        <v>878</v>
      </c>
      <c r="B33" s="3">
        <v>49</v>
      </c>
      <c r="C33" s="3" t="s">
        <v>1107</v>
      </c>
      <c r="D33" s="53">
        <v>0</v>
      </c>
      <c r="E33" s="53">
        <v>890000</v>
      </c>
      <c r="F33" s="53">
        <v>155194</v>
      </c>
      <c r="G33" s="53">
        <f t="shared" ref="G33:G37" si="6">D33+E33-F33</f>
        <v>734806</v>
      </c>
      <c r="H33" s="53"/>
      <c r="I33" s="53"/>
      <c r="J33" s="26"/>
      <c r="K33" s="26"/>
      <c r="L33" s="26"/>
      <c r="M33" s="26"/>
      <c r="N33" s="26"/>
    </row>
    <row r="34" spans="1:14" x14ac:dyDescent="0.35">
      <c r="A34" s="3" t="s">
        <v>878</v>
      </c>
      <c r="B34" s="3">
        <v>50</v>
      </c>
      <c r="C34" s="3" t="s">
        <v>1108</v>
      </c>
      <c r="D34" s="53">
        <v>0</v>
      </c>
      <c r="E34" s="53">
        <v>34966079</v>
      </c>
      <c r="F34" s="53">
        <v>34950136.880000003</v>
      </c>
      <c r="G34" s="53">
        <f t="shared" si="6"/>
        <v>15942.119999997318</v>
      </c>
      <c r="H34" s="53"/>
      <c r="I34" s="53"/>
      <c r="J34" s="26"/>
      <c r="K34" s="26"/>
      <c r="L34" s="26"/>
      <c r="M34" s="26"/>
      <c r="N34" s="26"/>
    </row>
    <row r="35" spans="1:14" x14ac:dyDescent="0.35">
      <c r="A35" s="3" t="s">
        <v>878</v>
      </c>
      <c r="B35" s="3">
        <v>56</v>
      </c>
      <c r="C35" s="3" t="s">
        <v>1109</v>
      </c>
      <c r="D35" s="53">
        <v>0</v>
      </c>
      <c r="E35" s="53">
        <v>77752</v>
      </c>
      <c r="F35" s="53">
        <v>77752</v>
      </c>
      <c r="G35" s="53">
        <f t="shared" si="6"/>
        <v>0</v>
      </c>
      <c r="H35" s="53">
        <v>0</v>
      </c>
      <c r="I35" s="53">
        <v>0</v>
      </c>
      <c r="J35" s="26"/>
      <c r="K35" s="26"/>
      <c r="L35" s="26"/>
      <c r="M35" s="26"/>
      <c r="N35" s="26"/>
    </row>
    <row r="36" spans="1:14" x14ac:dyDescent="0.35">
      <c r="A36" s="3" t="s">
        <v>878</v>
      </c>
      <c r="B36" s="3">
        <v>73</v>
      </c>
      <c r="C36" s="3" t="s">
        <v>1110</v>
      </c>
      <c r="D36" s="53">
        <v>0</v>
      </c>
      <c r="E36" s="53">
        <v>294831</v>
      </c>
      <c r="F36" s="53">
        <v>213500.98</v>
      </c>
      <c r="G36" s="53">
        <f t="shared" si="6"/>
        <v>81330.01999999999</v>
      </c>
      <c r="H36" s="53"/>
      <c r="I36" s="53"/>
      <c r="J36" s="26"/>
      <c r="K36" s="26"/>
      <c r="L36" s="26"/>
      <c r="M36" s="26"/>
      <c r="N36" s="26"/>
    </row>
    <row r="37" spans="1:14" x14ac:dyDescent="0.35">
      <c r="A37" s="3" t="s">
        <v>878</v>
      </c>
      <c r="B37" s="3">
        <v>88</v>
      </c>
      <c r="C37" s="3" t="s">
        <v>1100</v>
      </c>
      <c r="D37" s="53">
        <v>0</v>
      </c>
      <c r="E37" s="53">
        <v>10662395.050000001</v>
      </c>
      <c r="F37" s="53">
        <f>3943431.54+6718963.51</f>
        <v>10662395.050000001</v>
      </c>
      <c r="G37" s="53">
        <f t="shared" si="6"/>
        <v>0</v>
      </c>
      <c r="H37" s="53">
        <v>0</v>
      </c>
      <c r="I37" s="53">
        <v>0</v>
      </c>
      <c r="J37" s="26"/>
      <c r="K37" s="26"/>
      <c r="L37" s="26"/>
      <c r="M37" s="26"/>
      <c r="N37" s="26"/>
    </row>
    <row r="38" spans="1:14" x14ac:dyDescent="0.35">
      <c r="A38" s="3" t="s">
        <v>88</v>
      </c>
      <c r="B38" s="3">
        <v>61</v>
      </c>
      <c r="C38" s="229" t="s">
        <v>956</v>
      </c>
      <c r="D38" s="53">
        <v>3552721.76</v>
      </c>
      <c r="E38" s="230">
        <v>0</v>
      </c>
      <c r="F38" s="53">
        <v>934316.33</v>
      </c>
      <c r="G38" s="53">
        <f t="shared" si="1"/>
        <v>2618405.4299999997</v>
      </c>
      <c r="H38" s="53"/>
      <c r="I38" s="53"/>
      <c r="J38" s="26"/>
      <c r="K38" s="26"/>
      <c r="L38" s="26"/>
      <c r="M38" s="26"/>
      <c r="N38" s="26"/>
    </row>
    <row r="39" spans="1:14" x14ac:dyDescent="0.35">
      <c r="A39" s="3" t="s">
        <v>88</v>
      </c>
      <c r="B39" s="3">
        <v>68</v>
      </c>
      <c r="C39" s="229" t="s">
        <v>957</v>
      </c>
      <c r="D39" s="53">
        <v>38254.51</v>
      </c>
      <c r="E39" s="230">
        <v>0</v>
      </c>
      <c r="F39" s="53">
        <v>38254.51</v>
      </c>
      <c r="G39" s="53">
        <f t="shared" si="1"/>
        <v>0</v>
      </c>
      <c r="H39" s="53">
        <v>0</v>
      </c>
      <c r="I39" s="53">
        <v>0</v>
      </c>
      <c r="J39" s="26"/>
      <c r="K39" s="26"/>
      <c r="L39" s="26"/>
      <c r="M39" s="26"/>
      <c r="N39" s="26"/>
    </row>
    <row r="40" spans="1:14" x14ac:dyDescent="0.35">
      <c r="A40" s="3" t="s">
        <v>88</v>
      </c>
      <c r="B40" s="3">
        <v>4</v>
      </c>
      <c r="C40" s="229" t="s">
        <v>891</v>
      </c>
      <c r="D40" s="53">
        <v>0</v>
      </c>
      <c r="E40" s="230">
        <v>2000000</v>
      </c>
      <c r="F40" s="53">
        <v>1984033</v>
      </c>
      <c r="G40" s="53">
        <f t="shared" si="1"/>
        <v>15967</v>
      </c>
      <c r="H40" s="53"/>
      <c r="I40" s="53"/>
      <c r="J40" s="26"/>
      <c r="K40" s="26"/>
      <c r="L40" s="26"/>
      <c r="M40" s="26"/>
      <c r="N40" s="26"/>
    </row>
    <row r="41" spans="1:14" x14ac:dyDescent="0.35">
      <c r="A41" s="3" t="s">
        <v>88</v>
      </c>
      <c r="B41" s="3">
        <v>11</v>
      </c>
      <c r="C41" s="229" t="s">
        <v>891</v>
      </c>
      <c r="D41" s="53">
        <v>0</v>
      </c>
      <c r="E41" s="53">
        <v>872477</v>
      </c>
      <c r="F41" s="53">
        <v>704877</v>
      </c>
      <c r="G41" s="53">
        <f t="shared" si="1"/>
        <v>167600</v>
      </c>
      <c r="H41" s="53"/>
      <c r="I41" s="53"/>
      <c r="J41" s="26"/>
      <c r="K41" s="26"/>
      <c r="L41" s="26"/>
      <c r="M41" s="26"/>
      <c r="N41" s="26"/>
    </row>
    <row r="42" spans="1:14" x14ac:dyDescent="0.35">
      <c r="A42" s="3" t="s">
        <v>88</v>
      </c>
      <c r="B42" s="3">
        <v>28</v>
      </c>
      <c r="C42" s="229" t="s">
        <v>1112</v>
      </c>
      <c r="D42" s="53">
        <v>0</v>
      </c>
      <c r="E42" s="53">
        <v>968000</v>
      </c>
      <c r="F42" s="53">
        <v>968000</v>
      </c>
      <c r="G42" s="53">
        <f t="shared" si="1"/>
        <v>0</v>
      </c>
      <c r="H42" s="53">
        <v>0</v>
      </c>
      <c r="I42" s="53">
        <v>0</v>
      </c>
      <c r="J42" s="26"/>
      <c r="K42" s="26"/>
      <c r="L42" s="26"/>
      <c r="M42" s="26"/>
      <c r="N42" s="26"/>
    </row>
    <row r="43" spans="1:14" x14ac:dyDescent="0.35">
      <c r="A43" s="3" t="s">
        <v>88</v>
      </c>
      <c r="B43" s="3">
        <v>32</v>
      </c>
      <c r="C43" s="229" t="s">
        <v>1113</v>
      </c>
      <c r="D43" s="53">
        <v>0</v>
      </c>
      <c r="E43" s="53">
        <v>200000</v>
      </c>
      <c r="F43" s="53">
        <v>200000</v>
      </c>
      <c r="G43" s="53">
        <f t="shared" si="1"/>
        <v>0</v>
      </c>
      <c r="H43" s="53">
        <v>0</v>
      </c>
      <c r="I43" s="53">
        <v>0</v>
      </c>
      <c r="J43" s="26"/>
      <c r="K43" s="26"/>
      <c r="L43" s="26"/>
      <c r="M43" s="26"/>
      <c r="N43" s="26"/>
    </row>
    <row r="44" spans="1:14" x14ac:dyDescent="0.35">
      <c r="A44" s="3" t="s">
        <v>88</v>
      </c>
      <c r="B44" s="3">
        <v>70</v>
      </c>
      <c r="C44" s="232" t="s">
        <v>1153</v>
      </c>
      <c r="D44" s="53">
        <v>0</v>
      </c>
      <c r="E44" s="53">
        <v>0</v>
      </c>
      <c r="F44" s="53">
        <v>-49.53</v>
      </c>
      <c r="G44" s="53">
        <f t="shared" si="1"/>
        <v>49.53</v>
      </c>
      <c r="H44" s="53">
        <v>0</v>
      </c>
      <c r="I44" s="53">
        <v>0</v>
      </c>
      <c r="J44" s="26"/>
      <c r="K44" s="26"/>
      <c r="L44" s="26"/>
      <c r="M44" s="26"/>
      <c r="N44" s="26"/>
    </row>
    <row r="45" spans="1:14" x14ac:dyDescent="0.35">
      <c r="A45" s="3" t="s">
        <v>88</v>
      </c>
      <c r="B45" s="3">
        <v>71</v>
      </c>
      <c r="C45" s="3" t="s">
        <v>1114</v>
      </c>
      <c r="D45" s="53">
        <v>0</v>
      </c>
      <c r="E45" s="53">
        <v>135000</v>
      </c>
      <c r="F45" s="53">
        <v>135000</v>
      </c>
      <c r="G45" s="53">
        <f t="shared" si="1"/>
        <v>0</v>
      </c>
      <c r="H45" s="53">
        <v>0</v>
      </c>
      <c r="I45" s="53">
        <v>0</v>
      </c>
      <c r="J45" s="26"/>
      <c r="K45" s="26"/>
      <c r="L45" s="26"/>
      <c r="M45" s="26"/>
      <c r="N45" s="26"/>
    </row>
    <row r="46" spans="1:14" x14ac:dyDescent="0.35">
      <c r="A46" s="3" t="s">
        <v>88</v>
      </c>
      <c r="B46" s="3">
        <v>80</v>
      </c>
      <c r="C46" s="3" t="s">
        <v>1115</v>
      </c>
      <c r="D46" s="53">
        <v>0</v>
      </c>
      <c r="E46" s="53">
        <v>14280</v>
      </c>
      <c r="F46" s="53">
        <v>14280</v>
      </c>
      <c r="G46" s="53">
        <f t="shared" si="1"/>
        <v>0</v>
      </c>
      <c r="H46" s="53">
        <v>0</v>
      </c>
      <c r="I46" s="53">
        <v>0</v>
      </c>
      <c r="J46" s="26"/>
      <c r="K46" s="26"/>
      <c r="L46" s="26"/>
      <c r="M46" s="26"/>
      <c r="N46" s="26"/>
    </row>
    <row r="47" spans="1:14" x14ac:dyDescent="0.35">
      <c r="A47" s="3" t="s">
        <v>88</v>
      </c>
      <c r="B47" s="3">
        <v>88</v>
      </c>
      <c r="C47" s="3" t="s">
        <v>1100</v>
      </c>
      <c r="D47" s="53">
        <v>0</v>
      </c>
      <c r="E47" s="53">
        <v>14.43</v>
      </c>
      <c r="F47" s="53">
        <v>14.43</v>
      </c>
      <c r="G47" s="53">
        <f t="shared" si="1"/>
        <v>0</v>
      </c>
      <c r="H47" s="53">
        <v>0</v>
      </c>
      <c r="I47" s="53">
        <v>0</v>
      </c>
      <c r="J47" s="26"/>
      <c r="K47" s="26"/>
      <c r="L47" s="26"/>
      <c r="M47" s="26"/>
      <c r="N47" s="26"/>
    </row>
    <row r="48" spans="1:14" x14ac:dyDescent="0.35">
      <c r="A48" s="3" t="s">
        <v>89</v>
      </c>
      <c r="B48" s="3">
        <v>91</v>
      </c>
      <c r="C48" s="3" t="s">
        <v>958</v>
      </c>
      <c r="D48" s="53">
        <f>257688-112688</f>
        <v>145000</v>
      </c>
      <c r="E48" s="53">
        <v>0</v>
      </c>
      <c r="F48" s="53">
        <v>51417.31</v>
      </c>
      <c r="G48" s="53">
        <f t="shared" ref="G48" si="7">D48+E48-F48</f>
        <v>93582.69</v>
      </c>
      <c r="H48" s="53"/>
      <c r="I48" s="53"/>
      <c r="J48" s="26" t="s">
        <v>1018</v>
      </c>
      <c r="K48" s="26"/>
      <c r="L48" s="26"/>
      <c r="M48" s="26"/>
      <c r="N48" s="26"/>
    </row>
    <row r="49" spans="1:14" x14ac:dyDescent="0.35">
      <c r="A49" s="3" t="s">
        <v>89</v>
      </c>
      <c r="B49" s="3">
        <v>110</v>
      </c>
      <c r="C49" s="232" t="s">
        <v>963</v>
      </c>
      <c r="D49" s="53">
        <v>1991</v>
      </c>
      <c r="E49" s="53">
        <v>0</v>
      </c>
      <c r="F49" s="53">
        <v>1991</v>
      </c>
      <c r="G49" s="53">
        <f t="shared" si="1"/>
        <v>0</v>
      </c>
      <c r="H49" s="53">
        <v>0</v>
      </c>
      <c r="I49" s="53">
        <v>0</v>
      </c>
      <c r="J49" t="s">
        <v>1094</v>
      </c>
      <c r="K49" s="26"/>
      <c r="L49" s="26"/>
      <c r="M49" s="26"/>
      <c r="N49" s="26"/>
    </row>
    <row r="50" spans="1:14" x14ac:dyDescent="0.35">
      <c r="A50" s="3" t="s">
        <v>89</v>
      </c>
      <c r="B50" s="3">
        <v>26.97</v>
      </c>
      <c r="C50" s="229" t="s">
        <v>1150</v>
      </c>
      <c r="D50" s="53"/>
      <c r="E50" s="53">
        <v>287927</v>
      </c>
      <c r="F50" s="53">
        <f>230000+50000</f>
        <v>280000</v>
      </c>
      <c r="G50" s="53">
        <f t="shared" si="1"/>
        <v>7927</v>
      </c>
      <c r="H50" s="53"/>
      <c r="I50" s="53"/>
      <c r="J50" s="26"/>
      <c r="K50" s="26"/>
      <c r="L50" s="26"/>
      <c r="M50" s="26"/>
      <c r="N50" s="26"/>
    </row>
    <row r="51" spans="1:14" x14ac:dyDescent="0.35">
      <c r="A51" s="3" t="s">
        <v>89</v>
      </c>
      <c r="B51" s="3">
        <v>54</v>
      </c>
      <c r="C51" s="3" t="s">
        <v>1116</v>
      </c>
      <c r="D51" s="53">
        <v>0</v>
      </c>
      <c r="E51" s="53">
        <v>100000</v>
      </c>
      <c r="F51" s="53">
        <v>0</v>
      </c>
      <c r="G51" s="53">
        <f t="shared" si="1"/>
        <v>100000</v>
      </c>
      <c r="H51" s="53"/>
      <c r="I51" s="53"/>
      <c r="J51" s="26"/>
      <c r="K51" s="26"/>
      <c r="L51" s="26"/>
      <c r="M51" s="26"/>
      <c r="N51" s="26"/>
    </row>
    <row r="52" spans="1:14" x14ac:dyDescent="0.35">
      <c r="A52" s="3" t="s">
        <v>89</v>
      </c>
      <c r="B52" s="3">
        <v>66</v>
      </c>
      <c r="C52" s="3" t="s">
        <v>1117</v>
      </c>
      <c r="D52" s="53">
        <v>0</v>
      </c>
      <c r="E52" s="53">
        <v>210000</v>
      </c>
      <c r="F52" s="53">
        <v>0</v>
      </c>
      <c r="G52" s="53">
        <f t="shared" si="1"/>
        <v>210000</v>
      </c>
      <c r="H52" s="53"/>
      <c r="I52" s="53"/>
      <c r="J52" s="26"/>
      <c r="K52" s="26"/>
      <c r="L52" s="26"/>
      <c r="M52" s="26"/>
      <c r="N52" s="26"/>
    </row>
    <row r="53" spans="1:14" x14ac:dyDescent="0.35">
      <c r="A53" s="3" t="s">
        <v>89</v>
      </c>
      <c r="B53" s="3">
        <v>72</v>
      </c>
      <c r="C53" s="3" t="s">
        <v>1118</v>
      </c>
      <c r="D53" s="53">
        <v>0</v>
      </c>
      <c r="E53" s="53">
        <v>70800</v>
      </c>
      <c r="F53" s="53">
        <v>7818.58</v>
      </c>
      <c r="G53" s="53">
        <f t="shared" si="1"/>
        <v>62981.42</v>
      </c>
      <c r="H53" s="53"/>
      <c r="I53" s="53"/>
      <c r="J53" s="26"/>
      <c r="K53" s="26"/>
      <c r="L53" s="26"/>
      <c r="M53" s="26"/>
      <c r="N53" s="26"/>
    </row>
    <row r="54" spans="1:14" x14ac:dyDescent="0.35">
      <c r="A54" s="3" t="s">
        <v>89</v>
      </c>
      <c r="B54" s="3">
        <v>88</v>
      </c>
      <c r="C54" s="3" t="s">
        <v>1100</v>
      </c>
      <c r="D54" s="53">
        <v>0</v>
      </c>
      <c r="E54" s="53">
        <v>320247.43</v>
      </c>
      <c r="F54" s="53">
        <v>320247.43</v>
      </c>
      <c r="G54" s="53">
        <f t="shared" si="1"/>
        <v>0</v>
      </c>
      <c r="H54" s="53">
        <v>0</v>
      </c>
      <c r="I54" s="53">
        <v>0</v>
      </c>
      <c r="J54" s="26"/>
      <c r="K54" s="26"/>
      <c r="L54" s="26"/>
      <c r="M54" s="26"/>
      <c r="N54" s="26"/>
    </row>
    <row r="55" spans="1:14" x14ac:dyDescent="0.35">
      <c r="A55" s="3" t="s">
        <v>879</v>
      </c>
      <c r="B55" s="3">
        <v>33</v>
      </c>
      <c r="C55" s="3" t="s">
        <v>961</v>
      </c>
      <c r="D55" s="53">
        <v>59504.97</v>
      </c>
      <c r="E55" s="53">
        <v>0</v>
      </c>
      <c r="F55" s="53">
        <v>0</v>
      </c>
      <c r="G55" s="53">
        <f t="shared" ref="G55:G56" si="8">D55+E55-F55</f>
        <v>59504.97</v>
      </c>
      <c r="H55" s="53"/>
      <c r="I55" s="53"/>
      <c r="J55" s="26"/>
      <c r="K55" s="26"/>
      <c r="L55" s="26"/>
      <c r="M55" s="26"/>
      <c r="N55" s="26"/>
    </row>
    <row r="56" spans="1:14" x14ac:dyDescent="0.35">
      <c r="A56" s="3" t="s">
        <v>879</v>
      </c>
      <c r="B56" s="3">
        <v>109</v>
      </c>
      <c r="C56" s="232" t="s">
        <v>962</v>
      </c>
      <c r="D56" s="53">
        <v>60343.93</v>
      </c>
      <c r="E56" s="53">
        <v>0</v>
      </c>
      <c r="F56" s="53">
        <v>60188</v>
      </c>
      <c r="G56" s="53">
        <f t="shared" si="8"/>
        <v>155.93000000000029</v>
      </c>
      <c r="H56" s="53"/>
      <c r="I56" s="53"/>
      <c r="K56" s="26"/>
      <c r="L56" s="26"/>
      <c r="M56" s="26"/>
      <c r="N56" s="26"/>
    </row>
    <row r="57" spans="1:14" x14ac:dyDescent="0.35">
      <c r="A57" s="3" t="s">
        <v>879</v>
      </c>
      <c r="B57" s="3">
        <v>130</v>
      </c>
      <c r="C57" s="232" t="s">
        <v>965</v>
      </c>
      <c r="D57" s="53">
        <v>1645.9</v>
      </c>
      <c r="E57" s="53">
        <v>0</v>
      </c>
      <c r="F57" s="53">
        <v>0</v>
      </c>
      <c r="G57" s="53">
        <f t="shared" si="1"/>
        <v>1645.9</v>
      </c>
      <c r="H57" s="53"/>
      <c r="I57" s="53"/>
      <c r="J57" s="26"/>
      <c r="K57" s="26"/>
      <c r="L57" s="26"/>
      <c r="M57" s="26"/>
      <c r="N57" s="26"/>
    </row>
    <row r="58" spans="1:14" x14ac:dyDescent="0.35">
      <c r="A58" s="3" t="s">
        <v>879</v>
      </c>
      <c r="B58" s="3">
        <v>135</v>
      </c>
      <c r="C58" s="232" t="s">
        <v>964</v>
      </c>
      <c r="D58" s="53">
        <v>11000</v>
      </c>
      <c r="E58" s="53">
        <v>0</v>
      </c>
      <c r="F58" s="53">
        <v>10729.2</v>
      </c>
      <c r="G58" s="53">
        <f t="shared" ref="G58" si="9">D58+E58-F58</f>
        <v>270.79999999999927</v>
      </c>
      <c r="H58" s="53"/>
      <c r="I58" s="53"/>
      <c r="K58" s="26"/>
      <c r="L58" s="26"/>
      <c r="M58" s="26"/>
      <c r="N58" s="26"/>
    </row>
    <row r="59" spans="1:14" x14ac:dyDescent="0.35">
      <c r="A59" s="3" t="s">
        <v>879</v>
      </c>
      <c r="B59" s="3">
        <v>43</v>
      </c>
      <c r="C59" s="232" t="s">
        <v>1119</v>
      </c>
      <c r="D59" s="53">
        <v>0</v>
      </c>
      <c r="E59" s="53">
        <v>37680000</v>
      </c>
      <c r="F59" s="53">
        <v>37680000</v>
      </c>
      <c r="G59" s="53">
        <f t="shared" ref="G59" si="10">D59+E59-F59</f>
        <v>0</v>
      </c>
      <c r="H59" s="53">
        <v>0</v>
      </c>
      <c r="I59" s="53">
        <v>0</v>
      </c>
      <c r="K59" s="26"/>
      <c r="L59" s="26"/>
      <c r="M59" s="26"/>
      <c r="N59" s="26"/>
    </row>
    <row r="60" spans="1:14" x14ac:dyDescent="0.35">
      <c r="A60" s="3" t="s">
        <v>879</v>
      </c>
      <c r="B60" s="3">
        <v>47</v>
      </c>
      <c r="C60" s="232" t="s">
        <v>1120</v>
      </c>
      <c r="D60" s="53">
        <v>0</v>
      </c>
      <c r="E60" s="53">
        <v>148130</v>
      </c>
      <c r="F60" s="53">
        <v>71057.88</v>
      </c>
      <c r="G60" s="53">
        <f t="shared" ref="G60" si="11">D60+E60-F60</f>
        <v>77072.12</v>
      </c>
      <c r="H60" s="53"/>
      <c r="I60" s="53"/>
      <c r="K60" s="26"/>
      <c r="L60" s="26"/>
      <c r="M60" s="26"/>
      <c r="N60" s="26"/>
    </row>
    <row r="61" spans="1:14" x14ac:dyDescent="0.35">
      <c r="A61" s="3" t="s">
        <v>879</v>
      </c>
      <c r="B61" s="3">
        <v>58</v>
      </c>
      <c r="C61" s="232" t="s">
        <v>1121</v>
      </c>
      <c r="D61" s="53">
        <v>0</v>
      </c>
      <c r="E61" s="53">
        <v>1500000</v>
      </c>
      <c r="F61" s="53">
        <v>1355053.11</v>
      </c>
      <c r="G61" s="53">
        <f t="shared" si="1"/>
        <v>144946.8899999999</v>
      </c>
      <c r="H61" s="57"/>
      <c r="I61" s="57"/>
      <c r="K61" s="26"/>
      <c r="L61" s="26"/>
      <c r="M61" s="26"/>
      <c r="N61" s="26"/>
    </row>
    <row r="62" spans="1:14" x14ac:dyDescent="0.35">
      <c r="A62" s="3" t="s">
        <v>879</v>
      </c>
      <c r="B62" s="3">
        <v>76.98</v>
      </c>
      <c r="C62" s="232" t="s">
        <v>1149</v>
      </c>
      <c r="D62" s="53">
        <v>0</v>
      </c>
      <c r="E62" s="53">
        <v>1993466</v>
      </c>
      <c r="F62" s="53">
        <f>199715.15+43200</f>
        <v>242915.15</v>
      </c>
      <c r="G62" s="53">
        <f t="shared" ref="G62" si="12">D62+E62-F62</f>
        <v>1750550.85</v>
      </c>
      <c r="H62" s="57"/>
      <c r="I62" s="57"/>
      <c r="K62" s="26"/>
      <c r="L62" s="26"/>
      <c r="M62" s="26"/>
      <c r="N62" s="26"/>
    </row>
    <row r="63" spans="1:14" x14ac:dyDescent="0.35">
      <c r="A63" s="3" t="s">
        <v>879</v>
      </c>
      <c r="B63" s="3">
        <v>79</v>
      </c>
      <c r="C63" s="232" t="s">
        <v>1122</v>
      </c>
      <c r="D63" s="53">
        <v>0</v>
      </c>
      <c r="E63" s="53">
        <v>1674000</v>
      </c>
      <c r="F63" s="53">
        <v>582743.01</v>
      </c>
      <c r="G63" s="53">
        <f t="shared" ref="G63" si="13">D63+E63-F63</f>
        <v>1091256.99</v>
      </c>
      <c r="H63" s="57"/>
      <c r="I63" s="57"/>
      <c r="K63" s="26"/>
      <c r="L63" s="26"/>
      <c r="M63" s="26"/>
      <c r="N63" s="26"/>
    </row>
    <row r="64" spans="1:14" x14ac:dyDescent="0.35">
      <c r="A64" s="3" t="s">
        <v>879</v>
      </c>
      <c r="B64" s="153">
        <v>82.93</v>
      </c>
      <c r="C64" s="232" t="s">
        <v>1123</v>
      </c>
      <c r="D64" s="53">
        <v>0</v>
      </c>
      <c r="E64" s="53">
        <v>58417</v>
      </c>
      <c r="F64" s="53">
        <v>58417</v>
      </c>
      <c r="G64" s="53">
        <f t="shared" ref="G64:G65" si="14">D64+E64-F64</f>
        <v>0</v>
      </c>
      <c r="H64" s="57">
        <v>0</v>
      </c>
      <c r="I64" s="57">
        <v>0</v>
      </c>
      <c r="K64" s="26"/>
      <c r="L64" s="26"/>
      <c r="M64" s="26"/>
      <c r="N64" s="26"/>
    </row>
    <row r="65" spans="1:14" x14ac:dyDescent="0.35">
      <c r="A65" s="3" t="s">
        <v>879</v>
      </c>
      <c r="B65" s="3">
        <v>88</v>
      </c>
      <c r="C65" s="232" t="s">
        <v>1100</v>
      </c>
      <c r="D65" s="53">
        <v>0</v>
      </c>
      <c r="E65" s="53">
        <v>931341.41</v>
      </c>
      <c r="F65" s="53">
        <v>931341.41</v>
      </c>
      <c r="G65" s="53">
        <f t="shared" si="14"/>
        <v>0</v>
      </c>
      <c r="H65" s="57">
        <v>0</v>
      </c>
      <c r="I65" s="57">
        <v>0</v>
      </c>
      <c r="K65" s="26"/>
      <c r="L65" s="26"/>
      <c r="M65" s="26"/>
      <c r="N65" s="26"/>
    </row>
    <row r="66" spans="1:14" x14ac:dyDescent="0.35">
      <c r="A66" s="3" t="s">
        <v>879</v>
      </c>
      <c r="B66" s="3">
        <v>90</v>
      </c>
      <c r="C66" s="232" t="s">
        <v>1100</v>
      </c>
      <c r="D66" s="53">
        <v>0</v>
      </c>
      <c r="E66" s="53">
        <v>1328764</v>
      </c>
      <c r="F66" s="53">
        <v>1298748.17</v>
      </c>
      <c r="G66" s="53">
        <f t="shared" si="1"/>
        <v>30015.830000000075</v>
      </c>
      <c r="H66" s="57"/>
      <c r="I66" s="57"/>
      <c r="K66" s="26"/>
      <c r="L66" s="26"/>
      <c r="M66" s="26"/>
      <c r="N66" s="26"/>
    </row>
    <row r="67" spans="1:14" x14ac:dyDescent="0.35">
      <c r="A67" s="3" t="s">
        <v>879</v>
      </c>
      <c r="B67" s="3">
        <v>95</v>
      </c>
      <c r="C67" s="54" t="s">
        <v>1148</v>
      </c>
      <c r="D67" s="53">
        <v>0</v>
      </c>
      <c r="E67" s="53">
        <v>3009817</v>
      </c>
      <c r="F67" s="53">
        <v>9816.16</v>
      </c>
      <c r="G67" s="53">
        <f t="shared" ref="G67" si="15">D67+E67-F67</f>
        <v>3000000.84</v>
      </c>
      <c r="H67" s="57"/>
      <c r="I67" s="57"/>
      <c r="K67" s="26"/>
      <c r="L67" s="26"/>
      <c r="M67" s="26"/>
      <c r="N67" s="26"/>
    </row>
    <row r="68" spans="1:14" x14ac:dyDescent="0.35">
      <c r="A68" s="3" t="s">
        <v>90</v>
      </c>
      <c r="B68" s="3">
        <v>9</v>
      </c>
      <c r="C68" s="3" t="s">
        <v>949</v>
      </c>
      <c r="D68" s="53">
        <v>9975.7999999999993</v>
      </c>
      <c r="E68" s="53">
        <v>0</v>
      </c>
      <c r="F68" s="53">
        <v>9975.7999999999993</v>
      </c>
      <c r="G68" s="53">
        <f t="shared" si="1"/>
        <v>0</v>
      </c>
      <c r="H68" s="57">
        <v>0</v>
      </c>
      <c r="I68" s="57">
        <v>0</v>
      </c>
      <c r="K68" s="26"/>
      <c r="L68" s="26"/>
      <c r="M68" s="26"/>
      <c r="N68" s="26"/>
    </row>
    <row r="69" spans="1:14" x14ac:dyDescent="0.35">
      <c r="A69" s="3" t="s">
        <v>90</v>
      </c>
      <c r="B69" s="3">
        <v>43</v>
      </c>
      <c r="C69" s="3" t="s">
        <v>966</v>
      </c>
      <c r="D69" s="53">
        <v>1521.41</v>
      </c>
      <c r="E69" s="53">
        <v>0</v>
      </c>
      <c r="F69" s="53">
        <v>1521.41</v>
      </c>
      <c r="G69" s="53">
        <f t="shared" si="1"/>
        <v>0</v>
      </c>
      <c r="H69" s="57">
        <v>0</v>
      </c>
      <c r="I69" s="57">
        <v>0</v>
      </c>
      <c r="K69" s="26"/>
      <c r="L69" s="26"/>
      <c r="M69" s="26"/>
      <c r="N69" s="26"/>
    </row>
    <row r="70" spans="1:14" x14ac:dyDescent="0.35">
      <c r="A70" s="3" t="s">
        <v>90</v>
      </c>
      <c r="B70" s="3">
        <v>47</v>
      </c>
      <c r="C70" s="232" t="s">
        <v>967</v>
      </c>
      <c r="D70" s="53">
        <v>22943.75</v>
      </c>
      <c r="E70" s="57">
        <v>0</v>
      </c>
      <c r="F70" s="57">
        <v>21982.43</v>
      </c>
      <c r="G70" s="57">
        <f t="shared" si="1"/>
        <v>961.31999999999971</v>
      </c>
      <c r="H70" s="57"/>
      <c r="I70" s="57"/>
      <c r="K70" s="26"/>
      <c r="L70" s="26"/>
      <c r="M70" s="26"/>
      <c r="N70" s="26"/>
    </row>
    <row r="71" spans="1:14" x14ac:dyDescent="0.35">
      <c r="A71" s="3" t="s">
        <v>90</v>
      </c>
      <c r="B71" s="3">
        <v>125</v>
      </c>
      <c r="C71" s="232" t="s">
        <v>968</v>
      </c>
      <c r="D71" s="53">
        <v>72727</v>
      </c>
      <c r="E71" s="53">
        <v>0</v>
      </c>
      <c r="F71" s="53">
        <v>0</v>
      </c>
      <c r="G71" s="53">
        <f t="shared" si="1"/>
        <v>72727</v>
      </c>
      <c r="H71" s="57"/>
      <c r="I71" s="57"/>
      <c r="K71" s="26"/>
      <c r="L71" s="26"/>
      <c r="M71" s="26"/>
      <c r="N71" s="26"/>
    </row>
    <row r="72" spans="1:14" x14ac:dyDescent="0.35">
      <c r="A72" s="3" t="s">
        <v>90</v>
      </c>
      <c r="B72" s="3">
        <v>127</v>
      </c>
      <c r="C72" s="232" t="s">
        <v>969</v>
      </c>
      <c r="D72" s="53">
        <v>28080</v>
      </c>
      <c r="E72" s="53">
        <v>0</v>
      </c>
      <c r="F72" s="53">
        <v>28080</v>
      </c>
      <c r="G72" s="53">
        <f t="shared" si="1"/>
        <v>0</v>
      </c>
      <c r="H72" s="53">
        <v>0</v>
      </c>
      <c r="I72" s="53">
        <v>0</v>
      </c>
      <c r="K72" s="26"/>
      <c r="L72" s="26"/>
      <c r="M72" s="26"/>
      <c r="N72" s="26"/>
    </row>
    <row r="73" spans="1:14" x14ac:dyDescent="0.35">
      <c r="A73" s="3" t="s">
        <v>90</v>
      </c>
      <c r="B73" s="3">
        <v>24</v>
      </c>
      <c r="C73" s="229" t="s">
        <v>1097</v>
      </c>
      <c r="D73" s="53">
        <v>0</v>
      </c>
      <c r="E73" s="53">
        <v>1146000</v>
      </c>
      <c r="F73" s="53">
        <f>246182.44+687976.5</f>
        <v>934158.94</v>
      </c>
      <c r="G73" s="53">
        <f t="shared" si="1"/>
        <v>211841.06000000006</v>
      </c>
      <c r="H73" s="53"/>
      <c r="I73" s="53"/>
      <c r="K73" s="26"/>
      <c r="L73" s="26"/>
      <c r="M73" s="26"/>
      <c r="N73" s="26"/>
    </row>
    <row r="74" spans="1:14" x14ac:dyDescent="0.35">
      <c r="A74" s="3" t="s">
        <v>90</v>
      </c>
      <c r="B74" s="3">
        <v>31</v>
      </c>
      <c r="C74" s="229" t="s">
        <v>1124</v>
      </c>
      <c r="D74" s="53">
        <v>0</v>
      </c>
      <c r="E74" s="53">
        <v>506800</v>
      </c>
      <c r="F74" s="57">
        <v>455925.55</v>
      </c>
      <c r="G74" s="57">
        <f t="shared" si="1"/>
        <v>50874.450000000012</v>
      </c>
      <c r="H74" s="53"/>
      <c r="I74" s="53"/>
      <c r="K74" s="26"/>
      <c r="L74" s="26"/>
      <c r="M74" s="26"/>
      <c r="N74" s="26"/>
    </row>
    <row r="75" spans="1:14" x14ac:dyDescent="0.35">
      <c r="A75" s="3" t="s">
        <v>91</v>
      </c>
      <c r="B75" s="3">
        <v>50</v>
      </c>
      <c r="C75" s="232" t="s">
        <v>970</v>
      </c>
      <c r="D75" s="53">
        <v>1014297</v>
      </c>
      <c r="E75" s="53"/>
      <c r="F75" s="53">
        <f>978417.63+13730</f>
        <v>992147.63</v>
      </c>
      <c r="G75" s="53">
        <f t="shared" si="1"/>
        <v>22149.369999999995</v>
      </c>
      <c r="H75" s="53"/>
      <c r="I75" s="53"/>
      <c r="K75" s="26"/>
      <c r="L75" s="26"/>
      <c r="M75" s="26"/>
      <c r="N75" s="26"/>
    </row>
    <row r="76" spans="1:14" x14ac:dyDescent="0.35">
      <c r="A76" s="3" t="s">
        <v>91</v>
      </c>
      <c r="B76" s="3">
        <v>95</v>
      </c>
      <c r="C76" s="3" t="s">
        <v>971</v>
      </c>
      <c r="D76" s="53">
        <v>6740021</v>
      </c>
      <c r="E76" s="53"/>
      <c r="F76" s="53">
        <v>6740021</v>
      </c>
      <c r="G76" s="53">
        <f t="shared" si="1"/>
        <v>0</v>
      </c>
      <c r="H76" s="53">
        <v>0</v>
      </c>
      <c r="I76" s="53">
        <v>0</v>
      </c>
      <c r="K76" s="26"/>
      <c r="L76" s="26"/>
      <c r="M76" s="26"/>
      <c r="N76" s="26"/>
    </row>
    <row r="77" spans="1:14" x14ac:dyDescent="0.35">
      <c r="A77" s="3" t="s">
        <v>91</v>
      </c>
      <c r="B77" s="3">
        <v>100</v>
      </c>
      <c r="C77" s="232" t="s">
        <v>845</v>
      </c>
      <c r="D77" s="53">
        <v>133350</v>
      </c>
      <c r="E77" s="53"/>
      <c r="F77" s="53">
        <v>133349.81</v>
      </c>
      <c r="G77" s="53">
        <f t="shared" si="1"/>
        <v>0.19000000000232831</v>
      </c>
      <c r="H77" s="53">
        <v>0</v>
      </c>
      <c r="I77" s="53">
        <v>0</v>
      </c>
      <c r="K77" s="26"/>
      <c r="L77" s="26"/>
      <c r="M77" s="26"/>
      <c r="N77" s="26"/>
    </row>
    <row r="78" spans="1:14" x14ac:dyDescent="0.35">
      <c r="A78" s="3" t="s">
        <v>91</v>
      </c>
      <c r="B78" s="3">
        <v>113</v>
      </c>
      <c r="C78" s="232" t="s">
        <v>948</v>
      </c>
      <c r="D78" s="53">
        <v>60196</v>
      </c>
      <c r="E78" s="53"/>
      <c r="F78" s="53">
        <f>26935.66+17929</f>
        <v>44864.66</v>
      </c>
      <c r="G78" s="53">
        <f t="shared" si="1"/>
        <v>15331.339999999997</v>
      </c>
      <c r="H78" s="53"/>
      <c r="I78" s="53"/>
      <c r="K78" s="26"/>
      <c r="L78" s="26"/>
      <c r="M78" s="26"/>
      <c r="N78" s="26"/>
    </row>
    <row r="79" spans="1:14" x14ac:dyDescent="0.35">
      <c r="A79" s="3" t="s">
        <v>91</v>
      </c>
      <c r="B79" s="3">
        <v>124</v>
      </c>
      <c r="C79" s="232" t="s">
        <v>948</v>
      </c>
      <c r="D79" s="53">
        <v>5833</v>
      </c>
      <c r="E79" s="53"/>
      <c r="F79" s="53">
        <v>0</v>
      </c>
      <c r="G79" s="53">
        <f t="shared" si="1"/>
        <v>5833</v>
      </c>
      <c r="H79" s="53"/>
      <c r="I79" s="53"/>
      <c r="K79" s="26"/>
      <c r="L79" s="26"/>
      <c r="M79" s="26"/>
      <c r="N79" s="26"/>
    </row>
    <row r="80" spans="1:14" x14ac:dyDescent="0.35">
      <c r="A80" s="3" t="s">
        <v>91</v>
      </c>
      <c r="B80" s="3">
        <v>132</v>
      </c>
      <c r="C80" s="232" t="s">
        <v>127</v>
      </c>
      <c r="D80" s="53">
        <v>794605</v>
      </c>
      <c r="E80" s="53"/>
      <c r="F80" s="53">
        <v>793734.95</v>
      </c>
      <c r="G80" s="53">
        <f t="shared" ref="G80:G86" si="16">D80+E80-F80</f>
        <v>870.05000000004657</v>
      </c>
      <c r="H80" s="53"/>
      <c r="I80" s="53"/>
      <c r="K80" s="26"/>
      <c r="L80" s="26"/>
      <c r="M80" s="26"/>
      <c r="N80" s="26"/>
    </row>
    <row r="81" spans="1:15" x14ac:dyDescent="0.35">
      <c r="A81" s="3" t="s">
        <v>91</v>
      </c>
      <c r="B81" s="3">
        <v>133</v>
      </c>
      <c r="C81" s="232" t="s">
        <v>972</v>
      </c>
      <c r="D81" s="53">
        <v>817203</v>
      </c>
      <c r="E81" s="53"/>
      <c r="F81" s="53">
        <v>805966</v>
      </c>
      <c r="G81" s="53">
        <f t="shared" si="16"/>
        <v>11237</v>
      </c>
      <c r="H81" s="53"/>
      <c r="I81" s="53"/>
      <c r="K81" s="26"/>
      <c r="L81" s="26"/>
      <c r="M81" s="26"/>
      <c r="N81" s="26"/>
    </row>
    <row r="82" spans="1:15" x14ac:dyDescent="0.35">
      <c r="A82" s="3" t="s">
        <v>91</v>
      </c>
      <c r="B82" s="3">
        <v>134</v>
      </c>
      <c r="C82" s="232" t="s">
        <v>973</v>
      </c>
      <c r="D82" s="53">
        <v>32703</v>
      </c>
      <c r="E82" s="53"/>
      <c r="F82" s="53">
        <v>32332.38</v>
      </c>
      <c r="G82" s="53">
        <f t="shared" si="16"/>
        <v>370.61999999999898</v>
      </c>
      <c r="H82" s="53"/>
      <c r="I82" s="53"/>
      <c r="K82" s="26"/>
      <c r="L82" s="26"/>
      <c r="M82" s="26"/>
      <c r="N82" s="26"/>
    </row>
    <row r="83" spans="1:15" x14ac:dyDescent="0.35">
      <c r="A83" s="3" t="s">
        <v>91</v>
      </c>
      <c r="B83" s="3">
        <v>12</v>
      </c>
      <c r="C83" s="232" t="s">
        <v>1125</v>
      </c>
      <c r="D83" s="53">
        <v>0</v>
      </c>
      <c r="E83" s="53">
        <v>1044454</v>
      </c>
      <c r="F83" s="53">
        <v>0</v>
      </c>
      <c r="G83" s="53">
        <f t="shared" si="16"/>
        <v>1044454</v>
      </c>
      <c r="H83" s="53"/>
      <c r="I83" s="53"/>
      <c r="K83" s="26"/>
      <c r="L83" s="26"/>
      <c r="M83" s="26"/>
      <c r="N83" s="26"/>
    </row>
    <row r="84" spans="1:15" x14ac:dyDescent="0.35">
      <c r="A84" s="3" t="s">
        <v>91</v>
      </c>
      <c r="B84" s="3">
        <v>25</v>
      </c>
      <c r="C84" s="232" t="s">
        <v>1152</v>
      </c>
      <c r="D84" s="53">
        <v>0</v>
      </c>
      <c r="E84" s="53">
        <v>124422</v>
      </c>
      <c r="F84" s="53">
        <v>94940.160000000003</v>
      </c>
      <c r="G84" s="53">
        <f t="shared" si="16"/>
        <v>29481.839999999997</v>
      </c>
      <c r="H84" s="53"/>
      <c r="I84" s="53"/>
      <c r="K84" s="26"/>
      <c r="L84" s="26"/>
      <c r="M84" s="26"/>
      <c r="N84" s="26"/>
    </row>
    <row r="85" spans="1:15" x14ac:dyDescent="0.35">
      <c r="A85" s="3" t="s">
        <v>91</v>
      </c>
      <c r="B85" s="3">
        <v>42</v>
      </c>
      <c r="C85" s="232" t="s">
        <v>1126</v>
      </c>
      <c r="D85" s="53">
        <v>0</v>
      </c>
      <c r="E85" s="53">
        <v>16698424</v>
      </c>
      <c r="F85" s="53">
        <f>14964697.02+1179551.73</f>
        <v>16144248.75</v>
      </c>
      <c r="G85" s="53">
        <f t="shared" si="16"/>
        <v>554175.25</v>
      </c>
      <c r="H85" s="53"/>
      <c r="I85" s="53"/>
      <c r="K85" s="26"/>
      <c r="L85" s="26"/>
      <c r="M85" s="26"/>
      <c r="N85" s="26"/>
    </row>
    <row r="86" spans="1:15" x14ac:dyDescent="0.35">
      <c r="A86" s="3" t="s">
        <v>91</v>
      </c>
      <c r="B86" s="3">
        <v>60</v>
      </c>
      <c r="C86" s="232" t="s">
        <v>127</v>
      </c>
      <c r="D86" s="53">
        <v>0</v>
      </c>
      <c r="E86" s="53">
        <v>1177655</v>
      </c>
      <c r="F86" s="53">
        <v>116240.75</v>
      </c>
      <c r="G86" s="53">
        <f t="shared" si="16"/>
        <v>1061414.25</v>
      </c>
      <c r="H86" s="53"/>
      <c r="I86" s="53"/>
      <c r="K86" s="26"/>
      <c r="L86" s="26"/>
      <c r="M86" s="26"/>
      <c r="N86" s="26"/>
    </row>
    <row r="87" spans="1:15" x14ac:dyDescent="0.35">
      <c r="A87" s="3" t="s">
        <v>91</v>
      </c>
      <c r="B87" s="3">
        <v>62</v>
      </c>
      <c r="C87" s="232" t="s">
        <v>1127</v>
      </c>
      <c r="D87" s="53">
        <v>0</v>
      </c>
      <c r="E87" s="53">
        <v>5178000</v>
      </c>
      <c r="F87" s="53">
        <f>3121481.2+432000</f>
        <v>3553481.2</v>
      </c>
      <c r="G87" s="53">
        <f t="shared" ref="G87:G104" si="17">D87+E87-F87</f>
        <v>1624518.7999999998</v>
      </c>
      <c r="H87" s="53"/>
      <c r="I87" s="53"/>
      <c r="K87" s="26"/>
      <c r="L87" s="26"/>
      <c r="M87" s="26"/>
      <c r="N87" s="26"/>
    </row>
    <row r="88" spans="1:15" x14ac:dyDescent="0.35">
      <c r="A88" s="3" t="s">
        <v>91</v>
      </c>
      <c r="B88" s="3">
        <v>85</v>
      </c>
      <c r="C88" s="232" t="s">
        <v>1128</v>
      </c>
      <c r="D88" s="53">
        <v>0</v>
      </c>
      <c r="E88" s="53">
        <v>138982</v>
      </c>
      <c r="F88" s="53">
        <v>134989.54</v>
      </c>
      <c r="G88" s="53">
        <f t="shared" si="17"/>
        <v>3992.4599999999919</v>
      </c>
      <c r="H88" s="53"/>
      <c r="I88" s="53"/>
      <c r="K88" s="26"/>
      <c r="L88" s="26"/>
      <c r="M88" s="26"/>
      <c r="N88" s="26"/>
    </row>
    <row r="89" spans="1:15" x14ac:dyDescent="0.35">
      <c r="A89" s="3" t="s">
        <v>91</v>
      </c>
      <c r="B89" s="3">
        <v>89</v>
      </c>
      <c r="C89" s="3" t="s">
        <v>1126</v>
      </c>
      <c r="D89" s="53">
        <v>0</v>
      </c>
      <c r="E89" s="53">
        <v>1571502</v>
      </c>
      <c r="F89" s="53">
        <f>1304311.31+60284.13</f>
        <v>1364595.44</v>
      </c>
      <c r="G89" s="53">
        <f t="shared" si="17"/>
        <v>206906.56000000006</v>
      </c>
      <c r="H89" s="53"/>
      <c r="I89" s="53"/>
      <c r="K89" s="26"/>
      <c r="L89" s="26"/>
      <c r="M89" s="26"/>
      <c r="N89" s="26"/>
    </row>
    <row r="90" spans="1:15" x14ac:dyDescent="0.35">
      <c r="A90" s="3" t="s">
        <v>92</v>
      </c>
      <c r="B90" s="3">
        <v>44</v>
      </c>
      <c r="C90" s="3" t="s">
        <v>959</v>
      </c>
      <c r="D90" s="53">
        <v>120856</v>
      </c>
      <c r="E90" s="53">
        <v>0</v>
      </c>
      <c r="F90" s="53">
        <v>116993.58</v>
      </c>
      <c r="G90" s="53">
        <f t="shared" si="17"/>
        <v>3862.4199999999983</v>
      </c>
      <c r="H90" s="53"/>
      <c r="I90" s="53"/>
      <c r="K90" s="26"/>
      <c r="L90" s="26"/>
      <c r="M90" s="26"/>
      <c r="N90" s="26"/>
    </row>
    <row r="91" spans="1:15" x14ac:dyDescent="0.35">
      <c r="A91" s="3" t="s">
        <v>92</v>
      </c>
      <c r="B91" s="3">
        <v>52</v>
      </c>
      <c r="C91" s="232" t="s">
        <v>974</v>
      </c>
      <c r="D91" s="53">
        <v>3891513</v>
      </c>
      <c r="E91" s="53">
        <v>0</v>
      </c>
      <c r="F91" s="53">
        <f>2741545.48+137190.68</f>
        <v>2878736.16</v>
      </c>
      <c r="G91" s="53">
        <f t="shared" si="17"/>
        <v>1012776.8399999999</v>
      </c>
      <c r="H91" s="53"/>
      <c r="I91" s="53"/>
      <c r="K91" s="26"/>
      <c r="L91" s="26"/>
      <c r="M91" s="26"/>
      <c r="N91" s="26"/>
    </row>
    <row r="92" spans="1:15" x14ac:dyDescent="0.35">
      <c r="A92" s="3" t="s">
        <v>92</v>
      </c>
      <c r="B92" s="3">
        <v>69</v>
      </c>
      <c r="C92" s="232" t="s">
        <v>974</v>
      </c>
      <c r="D92" s="53">
        <v>280858</v>
      </c>
      <c r="E92" s="53">
        <v>0</v>
      </c>
      <c r="F92" s="53">
        <v>5922.4</v>
      </c>
      <c r="G92" s="53">
        <f t="shared" si="17"/>
        <v>274935.59999999998</v>
      </c>
      <c r="H92" s="53"/>
      <c r="I92" s="53"/>
      <c r="K92" s="26"/>
      <c r="L92" s="26"/>
      <c r="M92" s="26"/>
      <c r="N92" s="26"/>
    </row>
    <row r="93" spans="1:15" x14ac:dyDescent="0.35">
      <c r="A93" s="3" t="s">
        <v>92</v>
      </c>
      <c r="B93" s="3">
        <v>96</v>
      </c>
      <c r="C93" s="3" t="s">
        <v>975</v>
      </c>
      <c r="D93" s="53">
        <v>1220333</v>
      </c>
      <c r="E93" s="53">
        <v>0</v>
      </c>
      <c r="F93" s="53">
        <v>1220333</v>
      </c>
      <c r="G93" s="53">
        <f t="shared" si="17"/>
        <v>0</v>
      </c>
      <c r="H93" s="53">
        <v>0</v>
      </c>
      <c r="I93" s="53">
        <v>0</v>
      </c>
      <c r="K93" s="26"/>
      <c r="L93" s="26"/>
      <c r="M93" s="26"/>
      <c r="N93" s="26"/>
    </row>
    <row r="94" spans="1:15" x14ac:dyDescent="0.35">
      <c r="A94" s="3" t="s">
        <v>92</v>
      </c>
      <c r="B94" s="3">
        <v>20</v>
      </c>
      <c r="C94" s="229" t="s">
        <v>1129</v>
      </c>
      <c r="D94" s="53">
        <v>0</v>
      </c>
      <c r="E94" s="53">
        <v>63000</v>
      </c>
      <c r="F94" s="53">
        <v>15623.14</v>
      </c>
      <c r="G94" s="53">
        <f t="shared" si="17"/>
        <v>47376.86</v>
      </c>
      <c r="H94" s="53"/>
      <c r="I94" s="53"/>
      <c r="K94" s="26"/>
      <c r="L94" s="26"/>
      <c r="M94" s="26"/>
      <c r="N94" s="26"/>
    </row>
    <row r="95" spans="1:15" x14ac:dyDescent="0.35">
      <c r="A95" s="3" t="s">
        <v>92</v>
      </c>
      <c r="B95" s="3">
        <v>55</v>
      </c>
      <c r="C95" s="3" t="s">
        <v>1130</v>
      </c>
      <c r="D95" s="53">
        <v>0</v>
      </c>
      <c r="E95" s="53">
        <v>2259000</v>
      </c>
      <c r="F95" s="53">
        <v>2237127.63</v>
      </c>
      <c r="G95" s="53">
        <f t="shared" si="17"/>
        <v>21872.370000000112</v>
      </c>
      <c r="H95" s="53"/>
      <c r="I95" s="53"/>
      <c r="K95" s="26"/>
      <c r="L95" s="26"/>
      <c r="M95" s="26"/>
      <c r="N95" s="26"/>
    </row>
    <row r="96" spans="1:15" x14ac:dyDescent="0.35">
      <c r="A96" s="3" t="s">
        <v>92</v>
      </c>
      <c r="B96" s="3">
        <v>57.84</v>
      </c>
      <c r="C96" s="3" t="s">
        <v>1131</v>
      </c>
      <c r="D96" s="53">
        <v>0</v>
      </c>
      <c r="E96" s="53">
        <v>177316</v>
      </c>
      <c r="F96" s="53">
        <f>48157.04+100708.85</f>
        <v>148865.89000000001</v>
      </c>
      <c r="G96" s="53">
        <f t="shared" si="17"/>
        <v>28450.109999999986</v>
      </c>
      <c r="H96" s="53"/>
      <c r="I96" s="53"/>
      <c r="K96" s="26"/>
      <c r="L96" s="26"/>
      <c r="M96" s="26"/>
      <c r="N96" s="26"/>
      <c r="O96" s="51"/>
    </row>
    <row r="97" spans="1:15" x14ac:dyDescent="0.35">
      <c r="A97" s="3" t="s">
        <v>92</v>
      </c>
      <c r="B97" s="3">
        <v>59</v>
      </c>
      <c r="C97" s="3" t="s">
        <v>1132</v>
      </c>
      <c r="D97" s="53">
        <v>0</v>
      </c>
      <c r="E97" s="53">
        <v>738733</v>
      </c>
      <c r="F97" s="53">
        <v>659439.80000000005</v>
      </c>
      <c r="G97" s="53">
        <f t="shared" si="17"/>
        <v>79293.199999999953</v>
      </c>
      <c r="H97" s="53"/>
      <c r="I97" s="53"/>
      <c r="K97" s="26"/>
      <c r="L97" s="26"/>
      <c r="M97" s="26"/>
      <c r="N97" s="26"/>
      <c r="O97" s="51"/>
    </row>
    <row r="98" spans="1:15" x14ac:dyDescent="0.35">
      <c r="A98" s="3" t="s">
        <v>92</v>
      </c>
      <c r="B98" s="3">
        <v>88</v>
      </c>
      <c r="C98" s="3" t="s">
        <v>1100</v>
      </c>
      <c r="D98" s="53">
        <v>0</v>
      </c>
      <c r="E98" s="53">
        <v>865198.55</v>
      </c>
      <c r="F98" s="53">
        <v>865198.55</v>
      </c>
      <c r="G98" s="53">
        <f t="shared" si="17"/>
        <v>0</v>
      </c>
      <c r="H98" s="53">
        <v>0</v>
      </c>
      <c r="I98" s="53">
        <v>0</v>
      </c>
      <c r="K98" s="26"/>
      <c r="L98" s="26"/>
      <c r="M98" s="52"/>
      <c r="N98" s="52"/>
    </row>
    <row r="99" spans="1:15" x14ac:dyDescent="0.35">
      <c r="A99" s="3" t="s">
        <v>93</v>
      </c>
      <c r="B99" s="3">
        <v>78</v>
      </c>
      <c r="C99" s="3" t="s">
        <v>977</v>
      </c>
      <c r="D99" s="53">
        <v>91724</v>
      </c>
      <c r="E99" s="53">
        <v>0</v>
      </c>
      <c r="F99" s="53">
        <f>40+91684</f>
        <v>91724</v>
      </c>
      <c r="G99" s="53">
        <f t="shared" ref="G99" si="18">D99+E99-F99</f>
        <v>0</v>
      </c>
      <c r="H99" s="53">
        <v>0</v>
      </c>
      <c r="I99" s="53">
        <v>0</v>
      </c>
      <c r="K99" s="26"/>
      <c r="L99" s="26"/>
      <c r="M99" s="26"/>
      <c r="N99" s="26"/>
    </row>
    <row r="100" spans="1:15" x14ac:dyDescent="0.35">
      <c r="A100" s="3" t="s">
        <v>93</v>
      </c>
      <c r="B100" s="3">
        <v>90</v>
      </c>
      <c r="C100" s="3" t="s">
        <v>976</v>
      </c>
      <c r="D100" s="53">
        <v>796616</v>
      </c>
      <c r="E100" s="53">
        <v>0</v>
      </c>
      <c r="F100" s="53">
        <v>772509.91</v>
      </c>
      <c r="G100" s="53">
        <f t="shared" si="17"/>
        <v>24106.089999999967</v>
      </c>
      <c r="H100" s="53"/>
      <c r="I100" s="53"/>
      <c r="K100" s="26"/>
      <c r="L100" s="26"/>
      <c r="M100" s="26"/>
      <c r="N100" s="26"/>
    </row>
    <row r="101" spans="1:15" x14ac:dyDescent="0.35">
      <c r="A101" s="3" t="s">
        <v>93</v>
      </c>
      <c r="B101" s="3">
        <v>23</v>
      </c>
      <c r="C101" s="229" t="s">
        <v>1135</v>
      </c>
      <c r="D101" s="53">
        <v>0</v>
      </c>
      <c r="E101" s="53">
        <v>892037</v>
      </c>
      <c r="F101" s="53">
        <f>227605.5+335214.15</f>
        <v>562819.65</v>
      </c>
      <c r="G101" s="53">
        <f t="shared" si="17"/>
        <v>329217.34999999998</v>
      </c>
      <c r="H101" s="53"/>
      <c r="I101" s="53"/>
      <c r="K101" s="26"/>
      <c r="L101" s="26"/>
      <c r="M101" s="26"/>
      <c r="N101" s="26"/>
    </row>
    <row r="102" spans="1:15" x14ac:dyDescent="0.35">
      <c r="A102" s="3" t="s">
        <v>93</v>
      </c>
      <c r="B102" s="3">
        <v>52</v>
      </c>
      <c r="C102" s="3" t="s">
        <v>1133</v>
      </c>
      <c r="D102" s="53">
        <v>0</v>
      </c>
      <c r="E102" s="53">
        <v>1371808</v>
      </c>
      <c r="F102" s="53">
        <v>0</v>
      </c>
      <c r="G102" s="53">
        <f t="shared" si="17"/>
        <v>1371808</v>
      </c>
      <c r="H102" s="53"/>
      <c r="I102" s="53"/>
      <c r="K102" s="26"/>
      <c r="L102" s="26"/>
      <c r="M102" s="26"/>
      <c r="N102" s="26"/>
    </row>
    <row r="103" spans="1:15" x14ac:dyDescent="0.35">
      <c r="A103" s="3" t="s">
        <v>93</v>
      </c>
      <c r="B103" s="3">
        <v>53</v>
      </c>
      <c r="C103" s="3" t="s">
        <v>1136</v>
      </c>
      <c r="D103" s="53">
        <v>0</v>
      </c>
      <c r="E103" s="53">
        <v>75000</v>
      </c>
      <c r="F103" s="53">
        <v>75000</v>
      </c>
      <c r="G103" s="53">
        <f t="shared" si="17"/>
        <v>0</v>
      </c>
      <c r="H103" s="53">
        <v>0</v>
      </c>
      <c r="I103" s="53">
        <v>0</v>
      </c>
      <c r="K103" s="26"/>
      <c r="L103" s="26"/>
      <c r="M103" s="26"/>
      <c r="N103" s="26"/>
    </row>
    <row r="104" spans="1:15" x14ac:dyDescent="0.35">
      <c r="A104" s="3" t="s">
        <v>93</v>
      </c>
      <c r="B104" s="3">
        <v>61</v>
      </c>
      <c r="C104" s="3" t="s">
        <v>1134</v>
      </c>
      <c r="D104" s="53">
        <v>0</v>
      </c>
      <c r="E104" s="53">
        <v>748000</v>
      </c>
      <c r="F104" s="53">
        <v>526007.6</v>
      </c>
      <c r="G104" s="53">
        <f t="shared" si="17"/>
        <v>221992.40000000002</v>
      </c>
      <c r="H104" s="53"/>
      <c r="I104" s="53"/>
      <c r="K104" s="26"/>
      <c r="L104" s="26"/>
      <c r="M104" s="26"/>
      <c r="N104" s="26"/>
    </row>
    <row r="105" spans="1:15" x14ac:dyDescent="0.35">
      <c r="A105" s="58" t="s">
        <v>79</v>
      </c>
      <c r="B105" s="58"/>
      <c r="C105" s="58"/>
      <c r="D105" s="59">
        <v>34052741.999999993</v>
      </c>
      <c r="E105" s="59">
        <f>SUM(E4:E104)</f>
        <v>161307483.95000002</v>
      </c>
      <c r="F105" s="59">
        <f>SUM(F4:F104)</f>
        <v>165892325.25999999</v>
      </c>
      <c r="G105" s="59">
        <f>SUM(G4:G104)</f>
        <v>29467900.91</v>
      </c>
      <c r="H105" s="59">
        <f>SUM(H4:H104)</f>
        <v>135100</v>
      </c>
      <c r="I105" s="59">
        <f>SUM(I4:I104)</f>
        <v>0</v>
      </c>
      <c r="K105" s="26"/>
      <c r="L105" s="26"/>
      <c r="M105" s="26"/>
      <c r="N105" s="26"/>
    </row>
    <row r="106" spans="1:15" x14ac:dyDescent="0.35">
      <c r="A106" s="60"/>
      <c r="C106" s="60" t="s">
        <v>15</v>
      </c>
      <c r="D106" s="59">
        <v>34052742</v>
      </c>
      <c r="E106" s="26">
        <v>159194061.94999999</v>
      </c>
      <c r="F106" s="26"/>
      <c r="G106" s="26"/>
      <c r="H106" s="26"/>
      <c r="I106" s="26"/>
      <c r="K106" s="26"/>
      <c r="L106" s="26"/>
      <c r="M106" s="26"/>
      <c r="N106" s="26"/>
    </row>
    <row r="107" spans="1:15" x14ac:dyDescent="0.35">
      <c r="A107" s="62" t="s">
        <v>113</v>
      </c>
      <c r="B107" s="62" t="s">
        <v>114</v>
      </c>
      <c r="C107" s="62" t="s">
        <v>115</v>
      </c>
      <c r="D107" s="67" t="s">
        <v>96</v>
      </c>
      <c r="E107" s="67" t="s">
        <v>931</v>
      </c>
      <c r="F107" s="67" t="s">
        <v>116</v>
      </c>
      <c r="G107" s="67" t="s">
        <v>117</v>
      </c>
      <c r="H107" s="67" t="s">
        <v>118</v>
      </c>
      <c r="I107" s="67" t="s">
        <v>925</v>
      </c>
      <c r="K107" s="26"/>
      <c r="L107" s="26"/>
      <c r="M107" s="26"/>
      <c r="N107" s="26"/>
    </row>
    <row r="108" spans="1:15" x14ac:dyDescent="0.35">
      <c r="A108" s="137" t="str">
        <f t="shared" ref="A108:C127" si="19">A4</f>
        <v>Riigikogu Kantselei</v>
      </c>
      <c r="B108" s="137">
        <f t="shared" si="19"/>
        <v>104</v>
      </c>
      <c r="C108" s="137" t="str">
        <f t="shared" si="19"/>
        <v>E-hääletamise ja m-hääletamise ettevalmistamine ja jätkusuutlikkuse tagamine</v>
      </c>
      <c r="D108" s="130">
        <f t="shared" ref="D108:I117" si="20">ROUND(D4/1000,0)</f>
        <v>44</v>
      </c>
      <c r="E108" s="130">
        <f t="shared" si="20"/>
        <v>0</v>
      </c>
      <c r="F108" s="130">
        <f t="shared" si="20"/>
        <v>0</v>
      </c>
      <c r="G108" s="130">
        <f t="shared" si="20"/>
        <v>44</v>
      </c>
      <c r="H108" s="130">
        <f t="shared" si="20"/>
        <v>0</v>
      </c>
      <c r="I108" s="130">
        <f t="shared" si="20"/>
        <v>0</v>
      </c>
      <c r="K108" s="26"/>
      <c r="L108" s="26"/>
      <c r="M108" s="26"/>
      <c r="N108" s="26"/>
    </row>
    <row r="109" spans="1:15" x14ac:dyDescent="0.35">
      <c r="A109" s="137" t="str">
        <f t="shared" si="19"/>
        <v>Riigikogu Kantselei</v>
      </c>
      <c r="B109" s="137">
        <f t="shared" si="19"/>
        <v>29</v>
      </c>
      <c r="C109" s="137" t="str">
        <f t="shared" si="19"/>
        <v>E-hääletamise ja m-hääletamise ettevalmistamine ja jätkusuutlikkuse tagamine</v>
      </c>
      <c r="D109" s="130">
        <f t="shared" si="20"/>
        <v>0</v>
      </c>
      <c r="E109" s="130">
        <f t="shared" si="20"/>
        <v>500</v>
      </c>
      <c r="F109" s="130">
        <f t="shared" si="20"/>
        <v>257</v>
      </c>
      <c r="G109" s="130">
        <f t="shared" si="20"/>
        <v>243</v>
      </c>
      <c r="H109" s="130">
        <f t="shared" si="20"/>
        <v>0</v>
      </c>
      <c r="I109" s="130">
        <f t="shared" si="20"/>
        <v>0</v>
      </c>
      <c r="K109" s="26"/>
      <c r="L109" s="26"/>
      <c r="M109" s="26"/>
      <c r="N109" s="26"/>
    </row>
    <row r="110" spans="1:15" x14ac:dyDescent="0.35">
      <c r="A110" s="137" t="str">
        <f t="shared" si="19"/>
        <v>Riigikogu Kantselei</v>
      </c>
      <c r="B110" s="137">
        <f t="shared" si="19"/>
        <v>67</v>
      </c>
      <c r="C110" s="137" t="str">
        <f t="shared" si="19"/>
        <v>Läbipääsuväravate soetus</v>
      </c>
      <c r="D110" s="130">
        <f t="shared" si="20"/>
        <v>0</v>
      </c>
      <c r="E110" s="130">
        <f t="shared" si="20"/>
        <v>140</v>
      </c>
      <c r="F110" s="130">
        <f t="shared" si="20"/>
        <v>5</v>
      </c>
      <c r="G110" s="130">
        <f t="shared" si="20"/>
        <v>135</v>
      </c>
      <c r="H110" s="130">
        <f t="shared" si="20"/>
        <v>135</v>
      </c>
      <c r="I110" s="130">
        <f t="shared" si="20"/>
        <v>0</v>
      </c>
      <c r="K110" s="26"/>
      <c r="L110" s="26"/>
      <c r="M110" s="26"/>
      <c r="N110" s="26"/>
    </row>
    <row r="111" spans="1:15" x14ac:dyDescent="0.35">
      <c r="A111" s="137" t="str">
        <f t="shared" si="19"/>
        <v>Presidendi Kantselei</v>
      </c>
      <c r="B111" s="137">
        <f t="shared" si="19"/>
        <v>88</v>
      </c>
      <c r="C111" s="137" t="str">
        <f t="shared" si="19"/>
        <v>Küberturbe meetmete tõhustamine</v>
      </c>
      <c r="D111" s="130">
        <f t="shared" si="20"/>
        <v>18</v>
      </c>
      <c r="E111" s="130">
        <f t="shared" si="20"/>
        <v>0</v>
      </c>
      <c r="F111" s="130">
        <f t="shared" si="20"/>
        <v>18</v>
      </c>
      <c r="G111" s="130">
        <f t="shared" si="20"/>
        <v>0</v>
      </c>
      <c r="H111" s="130">
        <f t="shared" si="20"/>
        <v>0</v>
      </c>
      <c r="I111" s="130">
        <f t="shared" si="20"/>
        <v>0</v>
      </c>
      <c r="K111" s="26"/>
      <c r="L111" s="26"/>
      <c r="M111" s="26"/>
      <c r="N111" s="26"/>
    </row>
    <row r="112" spans="1:15" x14ac:dyDescent="0.35">
      <c r="A112" s="137" t="str">
        <f t="shared" si="19"/>
        <v>Presidendi Kantselei</v>
      </c>
      <c r="B112" s="137">
        <f t="shared" si="19"/>
        <v>63</v>
      </c>
      <c r="C112" s="137" t="str">
        <f t="shared" si="19"/>
        <v>Krüptoseadme soetus</v>
      </c>
      <c r="D112" s="130">
        <f t="shared" si="20"/>
        <v>0</v>
      </c>
      <c r="E112" s="130">
        <f t="shared" si="20"/>
        <v>22</v>
      </c>
      <c r="F112" s="130">
        <f t="shared" si="20"/>
        <v>20</v>
      </c>
      <c r="G112" s="130">
        <f t="shared" si="20"/>
        <v>1</v>
      </c>
      <c r="H112" s="130">
        <f t="shared" si="20"/>
        <v>0</v>
      </c>
      <c r="I112" s="130">
        <f t="shared" si="20"/>
        <v>0</v>
      </c>
      <c r="K112" s="26"/>
      <c r="L112" s="26"/>
      <c r="M112" s="26"/>
      <c r="N112" s="26"/>
    </row>
    <row r="113" spans="1:12" x14ac:dyDescent="0.35">
      <c r="A113" s="137" t="str">
        <f t="shared" si="19"/>
        <v>Riigikohus</v>
      </c>
      <c r="B113" s="137">
        <f t="shared" si="19"/>
        <v>73</v>
      </c>
      <c r="C113" s="137" t="str">
        <f t="shared" si="19"/>
        <v>IT vajaku kompenseerimine</v>
      </c>
      <c r="D113" s="130">
        <f t="shared" si="20"/>
        <v>7</v>
      </c>
      <c r="E113" s="130">
        <f t="shared" si="20"/>
        <v>0</v>
      </c>
      <c r="F113" s="130">
        <f t="shared" si="20"/>
        <v>7</v>
      </c>
      <c r="G113" s="130">
        <f t="shared" si="20"/>
        <v>0</v>
      </c>
      <c r="H113" s="130">
        <f t="shared" si="20"/>
        <v>0</v>
      </c>
      <c r="I113" s="130">
        <f t="shared" si="20"/>
        <v>0</v>
      </c>
      <c r="K113" s="148"/>
    </row>
    <row r="114" spans="1:12" x14ac:dyDescent="0.35">
      <c r="A114" s="137" t="str">
        <f t="shared" si="19"/>
        <v>Riigikantselei</v>
      </c>
      <c r="B114" s="137">
        <f t="shared" si="19"/>
        <v>108</v>
      </c>
      <c r="C114" s="137" t="str">
        <f t="shared" si="19"/>
        <v>Laiapindse riigikaitse, sh elanikkonnakaitse strateegilise kommunikatsiooni arendamine</v>
      </c>
      <c r="D114" s="130">
        <f t="shared" si="20"/>
        <v>141</v>
      </c>
      <c r="E114" s="130">
        <f t="shared" si="20"/>
        <v>0</v>
      </c>
      <c r="F114" s="130">
        <f t="shared" si="20"/>
        <v>141</v>
      </c>
      <c r="G114" s="130">
        <f t="shared" si="20"/>
        <v>0</v>
      </c>
      <c r="H114" s="130">
        <f t="shared" si="20"/>
        <v>0</v>
      </c>
      <c r="I114" s="130">
        <f t="shared" si="20"/>
        <v>0</v>
      </c>
      <c r="K114" s="191"/>
      <c r="L114" s="192"/>
    </row>
    <row r="115" spans="1:12" x14ac:dyDescent="0.35">
      <c r="A115" s="137" t="str">
        <f t="shared" si="19"/>
        <v>Riigikantselei</v>
      </c>
      <c r="B115" s="137">
        <f t="shared" si="19"/>
        <v>21.46</v>
      </c>
      <c r="C115" s="137" t="str">
        <f t="shared" si="19"/>
        <v>Laiapindse riigikaitse tegevused</v>
      </c>
      <c r="D115" s="130">
        <f t="shared" si="20"/>
        <v>0</v>
      </c>
      <c r="E115" s="130">
        <f t="shared" si="20"/>
        <v>803</v>
      </c>
      <c r="F115" s="130">
        <f t="shared" si="20"/>
        <v>485</v>
      </c>
      <c r="G115" s="130">
        <f t="shared" si="20"/>
        <v>318</v>
      </c>
      <c r="H115" s="130">
        <f t="shared" si="20"/>
        <v>0</v>
      </c>
      <c r="I115" s="130">
        <f t="shared" si="20"/>
        <v>0</v>
      </c>
    </row>
    <row r="116" spans="1:12" x14ac:dyDescent="0.35">
      <c r="A116" s="137" t="str">
        <f t="shared" si="19"/>
        <v>Riigikantselei</v>
      </c>
      <c r="B116" s="137">
        <f t="shared" si="19"/>
        <v>70</v>
      </c>
      <c r="C116" s="137" t="str">
        <f t="shared" si="19"/>
        <v>Riigikaitse kriiside lahendamise tõhustamine ja strateegilise kommunikatsiooni suurendamine</v>
      </c>
      <c r="D116" s="130">
        <f t="shared" si="20"/>
        <v>0</v>
      </c>
      <c r="E116" s="130">
        <f t="shared" si="20"/>
        <v>150</v>
      </c>
      <c r="F116" s="130">
        <f t="shared" si="20"/>
        <v>32</v>
      </c>
      <c r="G116" s="130">
        <f t="shared" si="20"/>
        <v>118</v>
      </c>
      <c r="H116" s="130">
        <f t="shared" si="20"/>
        <v>0</v>
      </c>
      <c r="I116" s="130">
        <f t="shared" si="20"/>
        <v>0</v>
      </c>
    </row>
    <row r="117" spans="1:12" x14ac:dyDescent="0.35">
      <c r="A117" s="137" t="str">
        <f t="shared" si="19"/>
        <v>Haridus- ja Teadusministeerium</v>
      </c>
      <c r="B117" s="137">
        <f t="shared" si="19"/>
        <v>86</v>
      </c>
      <c r="C117" s="137" t="str">
        <f t="shared" si="19"/>
        <v>Ukraina sõjapõgenikest ülikoolide ja rakenduskõrgkoolide üliõpilaste õppetoetused</v>
      </c>
      <c r="D117" s="130">
        <f t="shared" si="20"/>
        <v>0</v>
      </c>
      <c r="E117" s="130">
        <f t="shared" si="20"/>
        <v>341</v>
      </c>
      <c r="F117" s="130">
        <f t="shared" si="20"/>
        <v>341</v>
      </c>
      <c r="G117" s="130">
        <f t="shared" si="20"/>
        <v>0</v>
      </c>
      <c r="H117" s="130">
        <f t="shared" si="20"/>
        <v>0</v>
      </c>
      <c r="I117" s="130">
        <f t="shared" si="20"/>
        <v>0</v>
      </c>
    </row>
    <row r="118" spans="1:12" x14ac:dyDescent="0.35">
      <c r="A118" s="137" t="str">
        <f t="shared" si="19"/>
        <v>Haridus- ja Teadusministeerium</v>
      </c>
      <c r="B118" s="137">
        <f t="shared" si="19"/>
        <v>88</v>
      </c>
      <c r="C118" s="137" t="str">
        <f t="shared" si="19"/>
        <v>Välistoetuste mitteabikõlblikud kulud</v>
      </c>
      <c r="D118" s="130">
        <f t="shared" ref="D118:I127" si="21">ROUND(D14/1000,0)</f>
        <v>0</v>
      </c>
      <c r="E118" s="130">
        <f t="shared" si="21"/>
        <v>3085</v>
      </c>
      <c r="F118" s="130">
        <f t="shared" si="21"/>
        <v>3085</v>
      </c>
      <c r="G118" s="130">
        <f t="shared" si="21"/>
        <v>0</v>
      </c>
      <c r="H118" s="130">
        <f t="shared" si="21"/>
        <v>0</v>
      </c>
      <c r="I118" s="130">
        <f t="shared" si="21"/>
        <v>0</v>
      </c>
    </row>
    <row r="119" spans="1:12" x14ac:dyDescent="0.35">
      <c r="A119" s="137" t="str">
        <f t="shared" si="19"/>
        <v>Justiits- ja Digiministeerium</v>
      </c>
      <c r="B119" s="137">
        <f t="shared" si="19"/>
        <v>91</v>
      </c>
      <c r="C119" s="137" t="str">
        <f t="shared" si="19"/>
        <v>Digiühiskonna tulemusvaldkonna kulud ja investeeringud</v>
      </c>
      <c r="D119" s="130">
        <f t="shared" si="21"/>
        <v>113</v>
      </c>
      <c r="E119" s="130">
        <f t="shared" si="21"/>
        <v>0</v>
      </c>
      <c r="F119" s="130">
        <f t="shared" si="21"/>
        <v>113</v>
      </c>
      <c r="G119" s="130">
        <f t="shared" si="21"/>
        <v>0</v>
      </c>
      <c r="H119" s="130">
        <f t="shared" si="21"/>
        <v>0</v>
      </c>
      <c r="I119" s="130">
        <f t="shared" si="21"/>
        <v>0</v>
      </c>
    </row>
    <row r="120" spans="1:12" x14ac:dyDescent="0.35">
      <c r="A120" s="137" t="str">
        <f t="shared" si="19"/>
        <v>Justiits- ja Digiministeerium</v>
      </c>
      <c r="B120" s="137">
        <f t="shared" si="19"/>
        <v>112</v>
      </c>
      <c r="C120" s="137" t="str">
        <f t="shared" si="19"/>
        <v>Laiapindse riigikaitse, sh elanikkonnakaitse arendamine</v>
      </c>
      <c r="D120" s="130">
        <f t="shared" si="21"/>
        <v>499</v>
      </c>
      <c r="E120" s="130">
        <f t="shared" si="21"/>
        <v>0</v>
      </c>
      <c r="F120" s="130">
        <f t="shared" si="21"/>
        <v>499</v>
      </c>
      <c r="G120" s="130">
        <f t="shared" si="21"/>
        <v>0</v>
      </c>
      <c r="H120" s="130">
        <f t="shared" si="21"/>
        <v>0</v>
      </c>
      <c r="I120" s="130">
        <f t="shared" si="21"/>
        <v>0</v>
      </c>
    </row>
    <row r="121" spans="1:12" x14ac:dyDescent="0.35">
      <c r="A121" s="137" t="str">
        <f t="shared" si="19"/>
        <v>Justiits- ja Digiministeerium</v>
      </c>
      <c r="B121" s="137">
        <f t="shared" si="19"/>
        <v>1</v>
      </c>
      <c r="C121" s="137" t="str">
        <f t="shared" si="19"/>
        <v>Küberkaitse ja digiriigiga seotud ürituste ja kohtumiste korraldamine ja kohtukulud</v>
      </c>
      <c r="D121" s="130">
        <f t="shared" si="21"/>
        <v>312</v>
      </c>
      <c r="E121" s="130">
        <f t="shared" si="21"/>
        <v>0</v>
      </c>
      <c r="F121" s="130">
        <f t="shared" si="21"/>
        <v>199</v>
      </c>
      <c r="G121" s="130">
        <f t="shared" si="21"/>
        <v>114</v>
      </c>
      <c r="H121" s="130">
        <f t="shared" si="21"/>
        <v>0</v>
      </c>
      <c r="I121" s="130">
        <f t="shared" si="21"/>
        <v>0</v>
      </c>
    </row>
    <row r="122" spans="1:12" x14ac:dyDescent="0.35">
      <c r="A122" s="137" t="str">
        <f t="shared" si="19"/>
        <v>Justiits- ja Digiministeerium</v>
      </c>
      <c r="B122" s="137">
        <f t="shared" si="19"/>
        <v>30</v>
      </c>
      <c r="C122" s="137" t="str">
        <f t="shared" si="19"/>
        <v>Majandusjulgeoleku ja elutähtsate teenuste kulud</v>
      </c>
      <c r="D122" s="130">
        <f t="shared" si="21"/>
        <v>0</v>
      </c>
      <c r="E122" s="130">
        <f t="shared" si="21"/>
        <v>1586</v>
      </c>
      <c r="F122" s="130">
        <f t="shared" si="21"/>
        <v>1171</v>
      </c>
      <c r="G122" s="130">
        <f t="shared" si="21"/>
        <v>415</v>
      </c>
      <c r="H122" s="130">
        <f t="shared" si="21"/>
        <v>0</v>
      </c>
      <c r="I122" s="130">
        <f t="shared" si="21"/>
        <v>0</v>
      </c>
    </row>
    <row r="123" spans="1:12" x14ac:dyDescent="0.35">
      <c r="A123" s="137" t="str">
        <f t="shared" si="19"/>
        <v>Justiits- ja Digiministeerium</v>
      </c>
      <c r="B123" s="137">
        <f t="shared" si="19"/>
        <v>41</v>
      </c>
      <c r="C123" s="137" t="str">
        <f t="shared" si="19"/>
        <v>Õigusemõistmise tagamine</v>
      </c>
      <c r="D123" s="130">
        <f t="shared" si="21"/>
        <v>0</v>
      </c>
      <c r="E123" s="130">
        <f t="shared" si="21"/>
        <v>582</v>
      </c>
      <c r="F123" s="130">
        <f t="shared" si="21"/>
        <v>582</v>
      </c>
      <c r="G123" s="130">
        <f t="shared" si="21"/>
        <v>0</v>
      </c>
      <c r="H123" s="130">
        <f t="shared" si="21"/>
        <v>0</v>
      </c>
      <c r="I123" s="130">
        <f t="shared" si="21"/>
        <v>0</v>
      </c>
    </row>
    <row r="124" spans="1:12" x14ac:dyDescent="0.35">
      <c r="A124" s="137" t="str">
        <f t="shared" si="19"/>
        <v>Justiits- ja Digiministeerium</v>
      </c>
      <c r="B124" s="137">
        <f t="shared" si="19"/>
        <v>87</v>
      </c>
      <c r="C124" s="137" t="str">
        <f t="shared" si="19"/>
        <v>Laia riigikaitse, sh elanikkonnakaitse tegevuste arendamine</v>
      </c>
      <c r="D124" s="130">
        <f t="shared" si="21"/>
        <v>0</v>
      </c>
      <c r="E124" s="130">
        <f t="shared" si="21"/>
        <v>520</v>
      </c>
      <c r="F124" s="130">
        <f t="shared" si="21"/>
        <v>107</v>
      </c>
      <c r="G124" s="130">
        <f t="shared" si="21"/>
        <v>413</v>
      </c>
      <c r="H124" s="130">
        <f t="shared" si="21"/>
        <v>0</v>
      </c>
      <c r="I124" s="130">
        <f t="shared" si="21"/>
        <v>0</v>
      </c>
    </row>
    <row r="125" spans="1:12" x14ac:dyDescent="0.35">
      <c r="A125" s="137" t="str">
        <f t="shared" si="19"/>
        <v>Justiits- ja Digiministeerium</v>
      </c>
      <c r="B125" s="137">
        <f t="shared" si="19"/>
        <v>88</v>
      </c>
      <c r="C125" s="137" t="str">
        <f t="shared" si="19"/>
        <v>Välistoetuste mitteabikõlblikud kulud</v>
      </c>
      <c r="D125" s="130">
        <f t="shared" si="21"/>
        <v>0</v>
      </c>
      <c r="E125" s="130">
        <f t="shared" si="21"/>
        <v>63</v>
      </c>
      <c r="F125" s="130">
        <f t="shared" si="21"/>
        <v>63</v>
      </c>
      <c r="G125" s="130">
        <f t="shared" si="21"/>
        <v>0</v>
      </c>
      <c r="H125" s="130">
        <f t="shared" si="21"/>
        <v>0</v>
      </c>
      <c r="I125" s="130">
        <f t="shared" si="21"/>
        <v>0</v>
      </c>
    </row>
    <row r="126" spans="1:12" x14ac:dyDescent="0.35">
      <c r="A126" s="137" t="str">
        <f t="shared" si="19"/>
        <v>Kaitseministeerium</v>
      </c>
      <c r="B126" s="137">
        <f t="shared" si="19"/>
        <v>77</v>
      </c>
      <c r="C126" s="137" t="str">
        <f t="shared" si="19"/>
        <v>IKT küberturvalisuse kulud</v>
      </c>
      <c r="D126" s="130">
        <f t="shared" si="21"/>
        <v>88</v>
      </c>
      <c r="E126" s="130">
        <f t="shared" si="21"/>
        <v>0</v>
      </c>
      <c r="F126" s="130">
        <f t="shared" si="21"/>
        <v>88</v>
      </c>
      <c r="G126" s="130">
        <f t="shared" si="21"/>
        <v>0</v>
      </c>
      <c r="H126" s="130">
        <f t="shared" si="21"/>
        <v>0</v>
      </c>
      <c r="I126" s="130">
        <f t="shared" si="21"/>
        <v>0</v>
      </c>
    </row>
    <row r="127" spans="1:12" x14ac:dyDescent="0.35">
      <c r="A127" s="137" t="str">
        <f t="shared" si="19"/>
        <v>Kliimaministeerium</v>
      </c>
      <c r="B127" s="137">
        <f t="shared" si="19"/>
        <v>70</v>
      </c>
      <c r="C127" s="137" t="str">
        <f t="shared" si="19"/>
        <v>Jäämurdetööd ja talvine navigatsioon</v>
      </c>
      <c r="D127" s="130">
        <f t="shared" si="21"/>
        <v>36</v>
      </c>
      <c r="E127" s="130">
        <f t="shared" si="21"/>
        <v>0</v>
      </c>
      <c r="F127" s="130">
        <f t="shared" si="21"/>
        <v>36</v>
      </c>
      <c r="G127" s="130">
        <f t="shared" si="21"/>
        <v>0</v>
      </c>
      <c r="H127" s="130">
        <f t="shared" si="21"/>
        <v>0</v>
      </c>
      <c r="I127" s="130">
        <f t="shared" si="21"/>
        <v>0</v>
      </c>
    </row>
    <row r="128" spans="1:12" x14ac:dyDescent="0.35">
      <c r="A128" s="137" t="str">
        <f t="shared" ref="A128:C141" si="22">A24</f>
        <v>Kliimaministeerium</v>
      </c>
      <c r="B128" s="137">
        <f t="shared" si="22"/>
        <v>75</v>
      </c>
      <c r="C128" s="137" t="str">
        <f t="shared" si="22"/>
        <v>IT-tegevuskulud</v>
      </c>
      <c r="D128" s="130">
        <f t="shared" ref="D128:I137" si="23">ROUND(D24/1000,0)</f>
        <v>145</v>
      </c>
      <c r="E128" s="130">
        <f t="shared" si="23"/>
        <v>0</v>
      </c>
      <c r="F128" s="130">
        <f t="shared" si="23"/>
        <v>145</v>
      </c>
      <c r="G128" s="130">
        <f t="shared" si="23"/>
        <v>0</v>
      </c>
      <c r="H128" s="130">
        <f t="shared" si="23"/>
        <v>0</v>
      </c>
      <c r="I128" s="130">
        <f t="shared" si="23"/>
        <v>0</v>
      </c>
    </row>
    <row r="129" spans="1:9" x14ac:dyDescent="0.35">
      <c r="A129" s="137" t="str">
        <f t="shared" si="22"/>
        <v>Kliimaministeerium</v>
      </c>
      <c r="B129" s="137">
        <f t="shared" si="22"/>
        <v>76</v>
      </c>
      <c r="C129" s="137" t="str">
        <f t="shared" si="22"/>
        <v>Elektri jaotusvõrkude kliimakindluse suurendamine</v>
      </c>
      <c r="D129" s="130">
        <f t="shared" si="23"/>
        <v>8636</v>
      </c>
      <c r="E129" s="130">
        <f t="shared" si="23"/>
        <v>0</v>
      </c>
      <c r="F129" s="130">
        <f t="shared" si="23"/>
        <v>8636</v>
      </c>
      <c r="G129" s="130">
        <f t="shared" si="23"/>
        <v>0</v>
      </c>
      <c r="H129" s="130">
        <f t="shared" si="23"/>
        <v>0</v>
      </c>
      <c r="I129" s="130">
        <f t="shared" si="23"/>
        <v>0</v>
      </c>
    </row>
    <row r="130" spans="1:9" x14ac:dyDescent="0.35">
      <c r="A130" s="137" t="str">
        <f t="shared" si="22"/>
        <v>Kliimaministeerium</v>
      </c>
      <c r="B130" s="137">
        <f t="shared" si="22"/>
        <v>114</v>
      </c>
      <c r="C130" s="137" t="str">
        <f t="shared" si="22"/>
        <v>Ministeeriumite ümberkorraldamise projektide teostamine</v>
      </c>
      <c r="D130" s="130">
        <f t="shared" si="23"/>
        <v>51</v>
      </c>
      <c r="E130" s="130">
        <f t="shared" si="23"/>
        <v>0</v>
      </c>
      <c r="F130" s="130">
        <f t="shared" si="23"/>
        <v>51</v>
      </c>
      <c r="G130" s="130">
        <f t="shared" si="23"/>
        <v>0</v>
      </c>
      <c r="H130" s="130">
        <f t="shared" si="23"/>
        <v>0</v>
      </c>
      <c r="I130" s="130">
        <f t="shared" si="23"/>
        <v>0</v>
      </c>
    </row>
    <row r="131" spans="1:9" x14ac:dyDescent="0.35">
      <c r="A131" s="137" t="str">
        <f t="shared" si="22"/>
        <v>Kliimaministeerium</v>
      </c>
      <c r="B131" s="137">
        <f t="shared" si="22"/>
        <v>117</v>
      </c>
      <c r="C131" s="137" t="str">
        <f t="shared" si="22"/>
        <v>IKT küberturvalisuse projektide teostamine</v>
      </c>
      <c r="D131" s="130">
        <f t="shared" si="23"/>
        <v>577</v>
      </c>
      <c r="E131" s="130">
        <f t="shared" si="23"/>
        <v>0</v>
      </c>
      <c r="F131" s="130">
        <f t="shared" si="23"/>
        <v>521</v>
      </c>
      <c r="G131" s="130">
        <f t="shared" si="23"/>
        <v>56</v>
      </c>
      <c r="H131" s="130">
        <f t="shared" si="23"/>
        <v>0</v>
      </c>
      <c r="I131" s="130">
        <f t="shared" si="23"/>
        <v>0</v>
      </c>
    </row>
    <row r="132" spans="1:9" x14ac:dyDescent="0.35">
      <c r="A132" s="137" t="str">
        <f t="shared" si="22"/>
        <v>Kliimaministeerium</v>
      </c>
      <c r="B132" s="137">
        <f t="shared" si="22"/>
        <v>119</v>
      </c>
      <c r="C132" s="137" t="str">
        <f t="shared" si="22"/>
        <v>Riigilaevastiku kulud ja investeeringud</v>
      </c>
      <c r="D132" s="130">
        <f t="shared" si="23"/>
        <v>3380</v>
      </c>
      <c r="E132" s="130">
        <f t="shared" si="23"/>
        <v>0</v>
      </c>
      <c r="F132" s="130">
        <f t="shared" si="23"/>
        <v>3380</v>
      </c>
      <c r="G132" s="130">
        <f t="shared" si="23"/>
        <v>0</v>
      </c>
      <c r="H132" s="130">
        <f t="shared" si="23"/>
        <v>0</v>
      </c>
      <c r="I132" s="130">
        <f t="shared" si="23"/>
        <v>0</v>
      </c>
    </row>
    <row r="133" spans="1:9" x14ac:dyDescent="0.35">
      <c r="A133" s="137" t="str">
        <f t="shared" si="22"/>
        <v>Kliimaministeerium</v>
      </c>
      <c r="B133" s="137">
        <f t="shared" si="22"/>
        <v>16</v>
      </c>
      <c r="C133" s="137" t="str">
        <f t="shared" si="22"/>
        <v>Toetus ASile ALARA</v>
      </c>
      <c r="D133" s="130">
        <f t="shared" si="23"/>
        <v>0</v>
      </c>
      <c r="E133" s="130">
        <f t="shared" si="23"/>
        <v>4820</v>
      </c>
      <c r="F133" s="130">
        <f t="shared" si="23"/>
        <v>786</v>
      </c>
      <c r="G133" s="130">
        <f t="shared" si="23"/>
        <v>4034</v>
      </c>
      <c r="H133" s="130">
        <f t="shared" si="23"/>
        <v>0</v>
      </c>
      <c r="I133" s="130">
        <f t="shared" si="23"/>
        <v>0</v>
      </c>
    </row>
    <row r="134" spans="1:9" x14ac:dyDescent="0.35">
      <c r="A134" s="137" t="str">
        <f t="shared" si="22"/>
        <v>Kliimaministeerium</v>
      </c>
      <c r="B134" s="137">
        <f t="shared" si="22"/>
        <v>22</v>
      </c>
      <c r="C134" s="137" t="str">
        <f t="shared" si="22"/>
        <v>EL elutähtsa teenuse osutajate toimepidavuse tagamise direktiivi rakendamine</v>
      </c>
      <c r="D134" s="130">
        <f t="shared" si="23"/>
        <v>0</v>
      </c>
      <c r="E134" s="130">
        <f t="shared" si="23"/>
        <v>21</v>
      </c>
      <c r="F134" s="130">
        <f t="shared" si="23"/>
        <v>0</v>
      </c>
      <c r="G134" s="130">
        <f t="shared" si="23"/>
        <v>21</v>
      </c>
      <c r="H134" s="130">
        <f t="shared" si="23"/>
        <v>0</v>
      </c>
      <c r="I134" s="130">
        <f t="shared" si="23"/>
        <v>0</v>
      </c>
    </row>
    <row r="135" spans="1:9" x14ac:dyDescent="0.35">
      <c r="A135" s="137" t="str">
        <f t="shared" si="22"/>
        <v>Kliimaministeerium</v>
      </c>
      <c r="B135" s="137">
        <f t="shared" si="22"/>
        <v>27</v>
      </c>
      <c r="C135" s="137" t="str">
        <f t="shared" si="22"/>
        <v>Laiapindse riigikaitse investeeringud</v>
      </c>
      <c r="D135" s="130">
        <f t="shared" si="23"/>
        <v>0</v>
      </c>
      <c r="E135" s="130">
        <f t="shared" si="23"/>
        <v>72</v>
      </c>
      <c r="F135" s="130">
        <f t="shared" si="23"/>
        <v>72</v>
      </c>
      <c r="G135" s="130">
        <f t="shared" si="23"/>
        <v>0</v>
      </c>
      <c r="H135" s="130">
        <f t="shared" si="23"/>
        <v>0</v>
      </c>
      <c r="I135" s="130">
        <f t="shared" si="23"/>
        <v>0</v>
      </c>
    </row>
    <row r="136" spans="1:9" x14ac:dyDescent="0.35">
      <c r="A136" s="137" t="str">
        <f t="shared" si="22"/>
        <v>Kliimaministeerium</v>
      </c>
      <c r="B136" s="137">
        <f t="shared" si="22"/>
        <v>39</v>
      </c>
      <c r="C136" s="137" t="str">
        <f t="shared" si="22"/>
        <v>Riigilaevastiku tegevuskulud ja investeeringud</v>
      </c>
      <c r="D136" s="130">
        <f t="shared" si="23"/>
        <v>0</v>
      </c>
      <c r="E136" s="130">
        <f t="shared" si="23"/>
        <v>13433</v>
      </c>
      <c r="F136" s="130">
        <f t="shared" si="23"/>
        <v>8475</v>
      </c>
      <c r="G136" s="130">
        <f t="shared" si="23"/>
        <v>4958</v>
      </c>
      <c r="H136" s="130">
        <f t="shared" si="23"/>
        <v>0</v>
      </c>
      <c r="I136" s="130">
        <f t="shared" si="23"/>
        <v>0</v>
      </c>
    </row>
    <row r="137" spans="1:9" x14ac:dyDescent="0.35">
      <c r="A137" s="137" t="str">
        <f t="shared" si="22"/>
        <v>Kliimaministeerium</v>
      </c>
      <c r="B137" s="137">
        <f t="shared" si="22"/>
        <v>49</v>
      </c>
      <c r="C137" s="137" t="str">
        <f t="shared" si="22"/>
        <v>Avaandmete direktiivi ülevõtmine</v>
      </c>
      <c r="D137" s="130">
        <f t="shared" si="23"/>
        <v>0</v>
      </c>
      <c r="E137" s="130">
        <f t="shared" si="23"/>
        <v>890</v>
      </c>
      <c r="F137" s="130">
        <f t="shared" si="23"/>
        <v>155</v>
      </c>
      <c r="G137" s="130">
        <f t="shared" si="23"/>
        <v>735</v>
      </c>
      <c r="H137" s="130">
        <f t="shared" si="23"/>
        <v>0</v>
      </c>
      <c r="I137" s="130">
        <f t="shared" si="23"/>
        <v>0</v>
      </c>
    </row>
    <row r="138" spans="1:9" x14ac:dyDescent="0.35">
      <c r="A138" s="137" t="str">
        <f t="shared" si="22"/>
        <v>Kliimaministeerium</v>
      </c>
      <c r="B138" s="137">
        <f t="shared" si="22"/>
        <v>50</v>
      </c>
      <c r="C138" s="137" t="str">
        <f t="shared" si="22"/>
        <v>AS Eesti Raudtee tulude ja kulude tasakaalu tagamine</v>
      </c>
      <c r="D138" s="130">
        <f t="shared" ref="D138:I141" si="24">ROUND(D34/1000,0)</f>
        <v>0</v>
      </c>
      <c r="E138" s="130">
        <f t="shared" si="24"/>
        <v>34966</v>
      </c>
      <c r="F138" s="130">
        <f t="shared" si="24"/>
        <v>34950</v>
      </c>
      <c r="G138" s="130">
        <f t="shared" si="24"/>
        <v>16</v>
      </c>
      <c r="H138" s="130">
        <f t="shared" si="24"/>
        <v>0</v>
      </c>
      <c r="I138" s="130">
        <f t="shared" si="24"/>
        <v>0</v>
      </c>
    </row>
    <row r="139" spans="1:9" x14ac:dyDescent="0.35">
      <c r="A139" s="137" t="str">
        <f t="shared" si="22"/>
        <v>Kliimaministeerium</v>
      </c>
      <c r="B139" s="137">
        <f t="shared" si="22"/>
        <v>56</v>
      </c>
      <c r="C139" s="137" t="str">
        <f t="shared" si="22"/>
        <v>Rahvusvaheliste liikmemaksude suurenemine</v>
      </c>
      <c r="D139" s="130">
        <f t="shared" si="24"/>
        <v>0</v>
      </c>
      <c r="E139" s="130">
        <f t="shared" si="24"/>
        <v>78</v>
      </c>
      <c r="F139" s="130">
        <f t="shared" si="24"/>
        <v>78</v>
      </c>
      <c r="G139" s="130">
        <f t="shared" si="24"/>
        <v>0</v>
      </c>
      <c r="H139" s="130">
        <f t="shared" si="24"/>
        <v>0</v>
      </c>
      <c r="I139" s="130">
        <f t="shared" si="24"/>
        <v>0</v>
      </c>
    </row>
    <row r="140" spans="1:9" x14ac:dyDescent="0.35">
      <c r="A140" s="137" t="str">
        <f t="shared" si="22"/>
        <v>Kliimaministeerium</v>
      </c>
      <c r="B140" s="137">
        <f t="shared" si="22"/>
        <v>73</v>
      </c>
      <c r="C140" s="137" t="str">
        <f t="shared" si="22"/>
        <v>Mehitamata õhusõidukite soetus, seire tõhustamine ja küttimise toetamine sigade Aafrika katku leviku tõkestamiseks</v>
      </c>
      <c r="D140" s="130">
        <f t="shared" si="24"/>
        <v>0</v>
      </c>
      <c r="E140" s="130">
        <f t="shared" si="24"/>
        <v>295</v>
      </c>
      <c r="F140" s="130">
        <f t="shared" si="24"/>
        <v>214</v>
      </c>
      <c r="G140" s="130">
        <f t="shared" si="24"/>
        <v>81</v>
      </c>
      <c r="H140" s="130">
        <f t="shared" si="24"/>
        <v>0</v>
      </c>
      <c r="I140" s="130">
        <f t="shared" si="24"/>
        <v>0</v>
      </c>
    </row>
    <row r="141" spans="1:9" x14ac:dyDescent="0.35">
      <c r="A141" s="137" t="str">
        <f t="shared" si="22"/>
        <v>Kliimaministeerium</v>
      </c>
      <c r="B141" s="137">
        <f t="shared" si="22"/>
        <v>88</v>
      </c>
      <c r="C141" s="137" t="str">
        <f t="shared" si="22"/>
        <v>Välistoetuste mitteabikõlblikud kulud</v>
      </c>
      <c r="D141" s="130">
        <f t="shared" si="24"/>
        <v>0</v>
      </c>
      <c r="E141" s="130">
        <f t="shared" si="24"/>
        <v>10662</v>
      </c>
      <c r="F141" s="130">
        <f t="shared" si="24"/>
        <v>10662</v>
      </c>
      <c r="G141" s="130">
        <f t="shared" si="24"/>
        <v>0</v>
      </c>
      <c r="H141" s="130">
        <f t="shared" si="24"/>
        <v>0</v>
      </c>
      <c r="I141" s="130">
        <f t="shared" si="24"/>
        <v>0</v>
      </c>
    </row>
    <row r="142" spans="1:9" x14ac:dyDescent="0.35">
      <c r="A142" s="137" t="str">
        <f t="shared" ref="A142:C142" si="25">A38</f>
        <v>Kultuuriministeerium</v>
      </c>
      <c r="B142" s="137">
        <f t="shared" si="25"/>
        <v>61</v>
      </c>
      <c r="C142" s="137" t="str">
        <f t="shared" si="25"/>
        <v>Rahvusvahelise kaitse saatjate ja ajutise kaitse saajate kohanemisprogramm, eesti keele õpe</v>
      </c>
      <c r="D142" s="130">
        <f t="shared" ref="D142:I142" si="26">ROUND(D38/1000,0)</f>
        <v>3553</v>
      </c>
      <c r="E142" s="130">
        <f t="shared" si="26"/>
        <v>0</v>
      </c>
      <c r="F142" s="130">
        <f t="shared" si="26"/>
        <v>934</v>
      </c>
      <c r="G142" s="130">
        <f t="shared" si="26"/>
        <v>2618</v>
      </c>
      <c r="H142" s="130">
        <f t="shared" si="26"/>
        <v>0</v>
      </c>
      <c r="I142" s="130">
        <f t="shared" si="26"/>
        <v>0</v>
      </c>
    </row>
    <row r="143" spans="1:9" x14ac:dyDescent="0.35">
      <c r="A143" s="137" t="str">
        <f t="shared" ref="A143:C144" si="27">A39</f>
        <v>Kultuuriministeerium</v>
      </c>
      <c r="B143" s="137">
        <f t="shared" si="27"/>
        <v>68</v>
      </c>
      <c r="C143" s="137" t="str">
        <f t="shared" si="27"/>
        <v>Eesti Rahvusringhäälingu IKT küberturvalisuse kulud</v>
      </c>
      <c r="D143" s="130">
        <f t="shared" ref="D143:I144" si="28">ROUND(D39/1000,0)</f>
        <v>38</v>
      </c>
      <c r="E143" s="130">
        <f t="shared" si="28"/>
        <v>0</v>
      </c>
      <c r="F143" s="130">
        <f t="shared" si="28"/>
        <v>38</v>
      </c>
      <c r="G143" s="130">
        <f t="shared" si="28"/>
        <v>0</v>
      </c>
      <c r="H143" s="130">
        <f t="shared" si="28"/>
        <v>0</v>
      </c>
      <c r="I143" s="130">
        <f t="shared" si="28"/>
        <v>0</v>
      </c>
    </row>
    <row r="144" spans="1:9" x14ac:dyDescent="0.35">
      <c r="A144" s="137" t="str">
        <f t="shared" si="27"/>
        <v>Kultuuriministeerium</v>
      </c>
      <c r="B144" s="137">
        <f t="shared" si="27"/>
        <v>4</v>
      </c>
      <c r="C144" s="137" t="str">
        <f t="shared" si="27"/>
        <v>Rahvusvaheliste kultuuri- ja spordisündmuste toetamine</v>
      </c>
      <c r="D144" s="130">
        <f t="shared" si="28"/>
        <v>0</v>
      </c>
      <c r="E144" s="130">
        <f t="shared" si="28"/>
        <v>2000</v>
      </c>
      <c r="F144" s="130">
        <f t="shared" si="28"/>
        <v>1984</v>
      </c>
      <c r="G144" s="130">
        <f t="shared" si="28"/>
        <v>16</v>
      </c>
      <c r="H144" s="130">
        <f t="shared" si="28"/>
        <v>0</v>
      </c>
      <c r="I144" s="130">
        <f t="shared" si="28"/>
        <v>0</v>
      </c>
    </row>
    <row r="145" spans="1:9" x14ac:dyDescent="0.35">
      <c r="A145" s="137" t="str">
        <f t="shared" ref="A145:C145" si="29">A41</f>
        <v>Kultuuriministeerium</v>
      </c>
      <c r="B145" s="137">
        <f t="shared" si="29"/>
        <v>11</v>
      </c>
      <c r="C145" s="137" t="str">
        <f t="shared" si="29"/>
        <v>Rahvusvaheliste kultuuri- ja spordisündmuste toetamine</v>
      </c>
      <c r="D145" s="130">
        <f t="shared" ref="D145:I145" si="30">ROUND(D41/1000,0)</f>
        <v>0</v>
      </c>
      <c r="E145" s="130">
        <f t="shared" si="30"/>
        <v>872</v>
      </c>
      <c r="F145" s="130">
        <f t="shared" si="30"/>
        <v>705</v>
      </c>
      <c r="G145" s="130">
        <f t="shared" si="30"/>
        <v>168</v>
      </c>
      <c r="H145" s="130">
        <f t="shared" si="30"/>
        <v>0</v>
      </c>
      <c r="I145" s="130">
        <f t="shared" si="30"/>
        <v>0</v>
      </c>
    </row>
    <row r="146" spans="1:9" x14ac:dyDescent="0.35">
      <c r="A146" s="137" t="str">
        <f t="shared" ref="A146:C146" si="31">A42</f>
        <v>Kultuuriministeerium</v>
      </c>
      <c r="B146" s="137">
        <f t="shared" si="31"/>
        <v>28</v>
      </c>
      <c r="C146" s="137" t="str">
        <f t="shared" si="31"/>
        <v>ERRi kulud laiapindse riigikaitse tagamiseks</v>
      </c>
      <c r="D146" s="130">
        <f t="shared" ref="D146:I146" si="32">ROUND(D42/1000,0)</f>
        <v>0</v>
      </c>
      <c r="E146" s="130">
        <f t="shared" si="32"/>
        <v>968</v>
      </c>
      <c r="F146" s="130">
        <f t="shared" si="32"/>
        <v>968</v>
      </c>
      <c r="G146" s="130">
        <f t="shared" si="32"/>
        <v>0</v>
      </c>
      <c r="H146" s="130">
        <f t="shared" si="32"/>
        <v>0</v>
      </c>
      <c r="I146" s="130">
        <f t="shared" si="32"/>
        <v>0</v>
      </c>
    </row>
    <row r="147" spans="1:9" x14ac:dyDescent="0.35">
      <c r="A147" s="137" t="str">
        <f t="shared" ref="A147:C148" si="33">A43</f>
        <v>Kultuuriministeerium</v>
      </c>
      <c r="B147" s="137">
        <f t="shared" si="33"/>
        <v>32</v>
      </c>
      <c r="C147" s="137" t="str">
        <f t="shared" si="33"/>
        <v>Eesti meeste korvpallikoondise Euroopa meistrivõistluste finaalturniiril osalemine</v>
      </c>
      <c r="D147" s="130">
        <f t="shared" ref="D147:I148" si="34">ROUND(D43/1000,0)</f>
        <v>0</v>
      </c>
      <c r="E147" s="130">
        <f t="shared" si="34"/>
        <v>200</v>
      </c>
      <c r="F147" s="130">
        <f t="shared" si="34"/>
        <v>200</v>
      </c>
      <c r="G147" s="130">
        <f t="shared" si="34"/>
        <v>0</v>
      </c>
      <c r="H147" s="130">
        <f t="shared" si="34"/>
        <v>0</v>
      </c>
      <c r="I147" s="130">
        <f t="shared" si="34"/>
        <v>0</v>
      </c>
    </row>
    <row r="148" spans="1:9" x14ac:dyDescent="0.35">
      <c r="A148" s="137" t="str">
        <f t="shared" si="33"/>
        <v>Kultuuriministeerium</v>
      </c>
      <c r="B148" s="137">
        <f t="shared" si="33"/>
        <v>70</v>
      </c>
      <c r="C148" s="137" t="str">
        <f t="shared" si="33"/>
        <v>Eesti kultuuri teadus- ja arendusprogrammi piloteerimine</v>
      </c>
      <c r="D148" s="130">
        <f t="shared" si="34"/>
        <v>0</v>
      </c>
      <c r="E148" s="130">
        <f t="shared" si="34"/>
        <v>0</v>
      </c>
      <c r="F148" s="130">
        <f t="shared" si="34"/>
        <v>0</v>
      </c>
      <c r="G148" s="130">
        <f t="shared" si="34"/>
        <v>0</v>
      </c>
      <c r="H148" s="130">
        <f t="shared" si="34"/>
        <v>0</v>
      </c>
      <c r="I148" s="130">
        <f t="shared" si="34"/>
        <v>0</v>
      </c>
    </row>
    <row r="149" spans="1:9" x14ac:dyDescent="0.35">
      <c r="A149" s="137" t="str">
        <f t="shared" ref="A149:C149" si="35">A45</f>
        <v>Kultuuriministeerium</v>
      </c>
      <c r="B149" s="137">
        <f t="shared" si="35"/>
        <v>71</v>
      </c>
      <c r="C149" s="137" t="str">
        <f t="shared" si="35"/>
        <v>Eesti Rahvusringhäälingu küberturvalisuse kulud</v>
      </c>
      <c r="D149" s="130">
        <f t="shared" ref="D149:I149" si="36">ROUND(D45/1000,0)</f>
        <v>0</v>
      </c>
      <c r="E149" s="130">
        <f t="shared" si="36"/>
        <v>135</v>
      </c>
      <c r="F149" s="130">
        <f t="shared" si="36"/>
        <v>135</v>
      </c>
      <c r="G149" s="130">
        <f t="shared" si="36"/>
        <v>0</v>
      </c>
      <c r="H149" s="130">
        <f t="shared" si="36"/>
        <v>0</v>
      </c>
      <c r="I149" s="130">
        <f t="shared" si="36"/>
        <v>0</v>
      </c>
    </row>
    <row r="150" spans="1:9" x14ac:dyDescent="0.35">
      <c r="A150" s="137" t="str">
        <f t="shared" ref="A150:C150" si="37">A46</f>
        <v>Kultuuriministeerium</v>
      </c>
      <c r="B150" s="137">
        <f t="shared" si="37"/>
        <v>80</v>
      </c>
      <c r="C150" s="137" t="str">
        <f t="shared" si="37"/>
        <v>Leiutasu</v>
      </c>
      <c r="D150" s="130">
        <f t="shared" ref="D150:I150" si="38">ROUND(D46/1000,0)</f>
        <v>0</v>
      </c>
      <c r="E150" s="130">
        <f t="shared" si="38"/>
        <v>14</v>
      </c>
      <c r="F150" s="130">
        <f t="shared" si="38"/>
        <v>14</v>
      </c>
      <c r="G150" s="130">
        <f t="shared" si="38"/>
        <v>0</v>
      </c>
      <c r="H150" s="130">
        <f t="shared" si="38"/>
        <v>0</v>
      </c>
      <c r="I150" s="130">
        <f t="shared" si="38"/>
        <v>0</v>
      </c>
    </row>
    <row r="151" spans="1:9" x14ac:dyDescent="0.35">
      <c r="A151" s="137" t="str">
        <f t="shared" ref="A151:C151" si="39">A47</f>
        <v>Kultuuriministeerium</v>
      </c>
      <c r="B151" s="137">
        <f t="shared" si="39"/>
        <v>88</v>
      </c>
      <c r="C151" s="137" t="str">
        <f t="shared" si="39"/>
        <v>Välistoetuste mitteabikõlblikud kulud</v>
      </c>
      <c r="D151" s="130">
        <f t="shared" ref="D151:I151" si="40">ROUND(D47/1000,0)</f>
        <v>0</v>
      </c>
      <c r="E151" s="130">
        <f t="shared" si="40"/>
        <v>0</v>
      </c>
      <c r="F151" s="130">
        <f t="shared" si="40"/>
        <v>0</v>
      </c>
      <c r="G151" s="130">
        <f t="shared" si="40"/>
        <v>0</v>
      </c>
      <c r="H151" s="130">
        <f t="shared" si="40"/>
        <v>0</v>
      </c>
      <c r="I151" s="130">
        <f t="shared" si="40"/>
        <v>0</v>
      </c>
    </row>
    <row r="152" spans="1:9" x14ac:dyDescent="0.35">
      <c r="A152" s="137" t="str">
        <f t="shared" ref="A152:C152" si="41">A48</f>
        <v>Majandus- ja Kommunikatsiooniministeerium</v>
      </c>
      <c r="B152" s="137">
        <f t="shared" si="41"/>
        <v>91</v>
      </c>
      <c r="C152" s="137" t="str">
        <f t="shared" si="41"/>
        <v>Digiühiskonna tulemusvaldkonna kulud ja investeeringud</v>
      </c>
      <c r="D152" s="130">
        <f t="shared" ref="D152:I152" si="42">ROUND(D48/1000,0)</f>
        <v>145</v>
      </c>
      <c r="E152" s="130">
        <f t="shared" si="42"/>
        <v>0</v>
      </c>
      <c r="F152" s="130">
        <f t="shared" si="42"/>
        <v>51</v>
      </c>
      <c r="G152" s="130">
        <f t="shared" si="42"/>
        <v>94</v>
      </c>
      <c r="H152" s="130">
        <f t="shared" si="42"/>
        <v>0</v>
      </c>
      <c r="I152" s="130">
        <f t="shared" si="42"/>
        <v>0</v>
      </c>
    </row>
    <row r="153" spans="1:9" x14ac:dyDescent="0.35">
      <c r="A153" s="137" t="str">
        <f t="shared" ref="A153:C153" si="43">A49</f>
        <v>Majandus- ja Kommunikatsiooniministeerium</v>
      </c>
      <c r="B153" s="137">
        <f t="shared" si="43"/>
        <v>110</v>
      </c>
      <c r="C153" s="137" t="str">
        <f t="shared" si="43"/>
        <v>Sise- ja välisveebi kaasajastamine</v>
      </c>
      <c r="D153" s="130">
        <f t="shared" ref="D153:I153" si="44">ROUND(D49/1000,0)</f>
        <v>2</v>
      </c>
      <c r="E153" s="130">
        <f t="shared" si="44"/>
        <v>0</v>
      </c>
      <c r="F153" s="130">
        <f t="shared" si="44"/>
        <v>2</v>
      </c>
      <c r="G153" s="130">
        <f t="shared" si="44"/>
        <v>0</v>
      </c>
      <c r="H153" s="130">
        <f t="shared" si="44"/>
        <v>0</v>
      </c>
      <c r="I153" s="130">
        <f t="shared" si="44"/>
        <v>0</v>
      </c>
    </row>
    <row r="154" spans="1:9" x14ac:dyDescent="0.35">
      <c r="A154" s="137" t="str">
        <f t="shared" ref="A154:C154" si="45">A50</f>
        <v>Majandus- ja Kommunikatsiooniministeerium</v>
      </c>
      <c r="B154" s="137">
        <f t="shared" si="45"/>
        <v>26.97</v>
      </c>
      <c r="C154" s="137" t="str">
        <f t="shared" si="45"/>
        <v>GPS häirete analüüsimiseks kasutatava tarkvara litsentsitasu, monitooringuvõrgu väljaehitamine ja monitooringujaama investeeringud</v>
      </c>
      <c r="D154" s="130">
        <f t="shared" ref="D154:I154" si="46">ROUND(D50/1000,0)</f>
        <v>0</v>
      </c>
      <c r="E154" s="130">
        <f t="shared" si="46"/>
        <v>288</v>
      </c>
      <c r="F154" s="130">
        <f t="shared" si="46"/>
        <v>280</v>
      </c>
      <c r="G154" s="130">
        <f t="shared" si="46"/>
        <v>8</v>
      </c>
      <c r="H154" s="130">
        <f t="shared" si="46"/>
        <v>0</v>
      </c>
      <c r="I154" s="130">
        <f t="shared" si="46"/>
        <v>0</v>
      </c>
    </row>
    <row r="155" spans="1:9" x14ac:dyDescent="0.35">
      <c r="A155" s="137" t="str">
        <f t="shared" ref="A155:C155" si="47">A51</f>
        <v>Majandus- ja Kommunikatsiooniministeerium</v>
      </c>
      <c r="B155" s="137">
        <f t="shared" si="47"/>
        <v>54</v>
      </c>
      <c r="C155" s="137" t="str">
        <f t="shared" si="47"/>
        <v>Sõjapõgenike töövaidluste ennetamine ja tööalastest õigustest teadlikkuse tõstmine</v>
      </c>
      <c r="D155" s="130">
        <f t="shared" ref="D155:I155" si="48">ROUND(D51/1000,0)</f>
        <v>0</v>
      </c>
      <c r="E155" s="130">
        <f t="shared" si="48"/>
        <v>100</v>
      </c>
      <c r="F155" s="130">
        <f t="shared" si="48"/>
        <v>0</v>
      </c>
      <c r="G155" s="130">
        <f t="shared" si="48"/>
        <v>100</v>
      </c>
      <c r="H155" s="130">
        <f t="shared" si="48"/>
        <v>0</v>
      </c>
      <c r="I155" s="130">
        <f t="shared" si="48"/>
        <v>0</v>
      </c>
    </row>
    <row r="156" spans="1:9" x14ac:dyDescent="0.35">
      <c r="A156" s="137" t="str">
        <f t="shared" ref="A156:C156" si="49">A52</f>
        <v>Majandus- ja Kommunikatsiooniministeerium</v>
      </c>
      <c r="B156" s="137">
        <f t="shared" si="49"/>
        <v>66</v>
      </c>
      <c r="C156" s="137" t="str">
        <f t="shared" si="49"/>
        <v>Nimemärgiste registri loomine ja järelevalveandmebaasi kasutuslitsentsi soetamine</v>
      </c>
      <c r="D156" s="130">
        <f t="shared" ref="D156:I156" si="50">ROUND(D52/1000,0)</f>
        <v>0</v>
      </c>
      <c r="E156" s="130">
        <f t="shared" si="50"/>
        <v>210</v>
      </c>
      <c r="F156" s="130">
        <f t="shared" si="50"/>
        <v>0</v>
      </c>
      <c r="G156" s="130">
        <f t="shared" si="50"/>
        <v>210</v>
      </c>
      <c r="H156" s="130">
        <f t="shared" si="50"/>
        <v>0</v>
      </c>
      <c r="I156" s="130">
        <f t="shared" si="50"/>
        <v>0</v>
      </c>
    </row>
    <row r="157" spans="1:9" x14ac:dyDescent="0.35">
      <c r="A157" s="137" t="str">
        <f t="shared" ref="A157:C157" si="51">A53</f>
        <v>Majandus- ja Kommunikatsiooniministeerium</v>
      </c>
      <c r="B157" s="137">
        <f t="shared" si="51"/>
        <v>72</v>
      </c>
      <c r="C157" s="137" t="str">
        <f t="shared" si="51"/>
        <v>Küberturvalisuse tugevdamine</v>
      </c>
      <c r="D157" s="130">
        <f t="shared" ref="D157:I157" si="52">ROUND(D53/1000,0)</f>
        <v>0</v>
      </c>
      <c r="E157" s="130">
        <f t="shared" si="52"/>
        <v>71</v>
      </c>
      <c r="F157" s="130">
        <f t="shared" si="52"/>
        <v>8</v>
      </c>
      <c r="G157" s="130">
        <f t="shared" si="52"/>
        <v>63</v>
      </c>
      <c r="H157" s="130">
        <f t="shared" si="52"/>
        <v>0</v>
      </c>
      <c r="I157" s="130">
        <f t="shared" si="52"/>
        <v>0</v>
      </c>
    </row>
    <row r="158" spans="1:9" x14ac:dyDescent="0.35">
      <c r="A158" s="137" t="str">
        <f t="shared" ref="A158:C158" si="53">A54</f>
        <v>Majandus- ja Kommunikatsiooniministeerium</v>
      </c>
      <c r="B158" s="137">
        <f t="shared" si="53"/>
        <v>88</v>
      </c>
      <c r="C158" s="137" t="str">
        <f t="shared" si="53"/>
        <v>Välistoetuste mitteabikõlblikud kulud</v>
      </c>
      <c r="D158" s="130">
        <f t="shared" ref="D158:I158" si="54">ROUND(D54/1000,0)</f>
        <v>0</v>
      </c>
      <c r="E158" s="130">
        <f t="shared" si="54"/>
        <v>320</v>
      </c>
      <c r="F158" s="130">
        <f t="shared" si="54"/>
        <v>320</v>
      </c>
      <c r="G158" s="130">
        <f t="shared" si="54"/>
        <v>0</v>
      </c>
      <c r="H158" s="130">
        <f t="shared" si="54"/>
        <v>0</v>
      </c>
      <c r="I158" s="130">
        <f t="shared" si="54"/>
        <v>0</v>
      </c>
    </row>
    <row r="159" spans="1:9" x14ac:dyDescent="0.35">
      <c r="A159" s="137" t="str">
        <f t="shared" ref="A159:C159" si="55">A55</f>
        <v>Regionaal- ja Põllumajandusministeerium</v>
      </c>
      <c r="B159" s="137">
        <f t="shared" si="55"/>
        <v>33</v>
      </c>
      <c r="C159" s="137" t="str">
        <f t="shared" si="55"/>
        <v>Ukraina sõjapõgenike rahvastikutoimingud</v>
      </c>
      <c r="D159" s="130">
        <f t="shared" ref="D159:I159" si="56">ROUND(D55/1000,0)</f>
        <v>60</v>
      </c>
      <c r="E159" s="130">
        <f t="shared" si="56"/>
        <v>0</v>
      </c>
      <c r="F159" s="130">
        <f t="shared" si="56"/>
        <v>0</v>
      </c>
      <c r="G159" s="130">
        <f t="shared" si="56"/>
        <v>60</v>
      </c>
      <c r="H159" s="130">
        <f t="shared" si="56"/>
        <v>0</v>
      </c>
      <c r="I159" s="130">
        <f t="shared" si="56"/>
        <v>0</v>
      </c>
    </row>
    <row r="160" spans="1:9" x14ac:dyDescent="0.35">
      <c r="A160" s="137" t="str">
        <f t="shared" ref="A160:C160" si="57">A56</f>
        <v>Regionaal- ja Põllumajandusministeerium</v>
      </c>
      <c r="B160" s="137">
        <f t="shared" si="57"/>
        <v>109</v>
      </c>
      <c r="C160" s="137" t="str">
        <f t="shared" si="57"/>
        <v>IKT kübertuvalisuse kulud</v>
      </c>
      <c r="D160" s="130">
        <f t="shared" ref="D160:I160" si="58">ROUND(D56/1000,0)</f>
        <v>60</v>
      </c>
      <c r="E160" s="130">
        <f t="shared" si="58"/>
        <v>0</v>
      </c>
      <c r="F160" s="130">
        <f t="shared" si="58"/>
        <v>60</v>
      </c>
      <c r="G160" s="130">
        <f t="shared" si="58"/>
        <v>0</v>
      </c>
      <c r="H160" s="130">
        <f t="shared" si="58"/>
        <v>0</v>
      </c>
      <c r="I160" s="130">
        <f t="shared" si="58"/>
        <v>0</v>
      </c>
    </row>
    <row r="161" spans="1:9" x14ac:dyDescent="0.35">
      <c r="A161" s="137" t="str">
        <f t="shared" ref="A161:C161" si="59">A57</f>
        <v>Regionaal- ja Põllumajandusministeerium</v>
      </c>
      <c r="B161" s="137">
        <f t="shared" si="59"/>
        <v>130</v>
      </c>
      <c r="C161" s="137" t="str">
        <f t="shared" si="59"/>
        <v>Kontorihoone energiatõhustustööd</v>
      </c>
      <c r="D161" s="130">
        <f t="shared" ref="D161:I161" si="60">ROUND(D57/1000,0)</f>
        <v>2</v>
      </c>
      <c r="E161" s="130">
        <f t="shared" si="60"/>
        <v>0</v>
      </c>
      <c r="F161" s="130">
        <f t="shared" si="60"/>
        <v>0</v>
      </c>
      <c r="G161" s="130">
        <f t="shared" si="60"/>
        <v>2</v>
      </c>
      <c r="H161" s="130">
        <f t="shared" si="60"/>
        <v>0</v>
      </c>
      <c r="I161" s="130">
        <f t="shared" si="60"/>
        <v>0</v>
      </c>
    </row>
    <row r="162" spans="1:9" x14ac:dyDescent="0.35">
      <c r="A162" s="137" t="str">
        <f t="shared" ref="A162:C162" si="61">A58</f>
        <v>Regionaal- ja Põllumajandusministeerium</v>
      </c>
      <c r="B162" s="137">
        <f t="shared" si="61"/>
        <v>135</v>
      </c>
      <c r="C162" s="137" t="str">
        <f t="shared" si="61"/>
        <v>Elutähtsa teenuse osutajate toimepidevuse direktiivi rakendamine</v>
      </c>
      <c r="D162" s="130">
        <f t="shared" ref="D162:I162" si="62">ROUND(D58/1000,0)</f>
        <v>11</v>
      </c>
      <c r="E162" s="130">
        <f t="shared" si="62"/>
        <v>0</v>
      </c>
      <c r="F162" s="130">
        <f t="shared" si="62"/>
        <v>11</v>
      </c>
      <c r="G162" s="130">
        <f t="shared" si="62"/>
        <v>0</v>
      </c>
      <c r="H162" s="130">
        <f t="shared" si="62"/>
        <v>0</v>
      </c>
      <c r="I162" s="130">
        <f t="shared" si="62"/>
        <v>0</v>
      </c>
    </row>
    <row r="163" spans="1:9" x14ac:dyDescent="0.35">
      <c r="A163" s="137" t="str">
        <f t="shared" ref="A163:C163" si="63">A59</f>
        <v>Regionaal- ja Põllumajandusministeerium</v>
      </c>
      <c r="B163" s="137">
        <f t="shared" si="63"/>
        <v>43</v>
      </c>
      <c r="C163" s="137" t="str">
        <f t="shared" si="63"/>
        <v>Ühistranspordi dotatsiooni puudujäägi katmine</v>
      </c>
      <c r="D163" s="130">
        <f t="shared" ref="D163:I163" si="64">ROUND(D59/1000,0)</f>
        <v>0</v>
      </c>
      <c r="E163" s="130">
        <f t="shared" si="64"/>
        <v>37680</v>
      </c>
      <c r="F163" s="130">
        <f t="shared" si="64"/>
        <v>37680</v>
      </c>
      <c r="G163" s="130">
        <f t="shared" si="64"/>
        <v>0</v>
      </c>
      <c r="H163" s="130">
        <f t="shared" si="64"/>
        <v>0</v>
      </c>
      <c r="I163" s="130">
        <f t="shared" si="64"/>
        <v>0</v>
      </c>
    </row>
    <row r="164" spans="1:9" x14ac:dyDescent="0.35">
      <c r="A164" s="137" t="str">
        <f t="shared" ref="A164:C164" si="65">A60</f>
        <v>Regionaal- ja Põllumajandusministeerium</v>
      </c>
      <c r="B164" s="137">
        <f t="shared" si="65"/>
        <v>47</v>
      </c>
      <c r="C164" s="137" t="str">
        <f t="shared" si="65"/>
        <v>Varustuskindluse pilootprojekti väljatöötamine</v>
      </c>
      <c r="D164" s="130">
        <f t="shared" ref="D164:I164" si="66">ROUND(D60/1000,0)</f>
        <v>0</v>
      </c>
      <c r="E164" s="130">
        <f t="shared" si="66"/>
        <v>148</v>
      </c>
      <c r="F164" s="130">
        <f t="shared" si="66"/>
        <v>71</v>
      </c>
      <c r="G164" s="130">
        <f t="shared" si="66"/>
        <v>77</v>
      </c>
      <c r="H164" s="130">
        <f t="shared" si="66"/>
        <v>0</v>
      </c>
      <c r="I164" s="130">
        <f t="shared" si="66"/>
        <v>0</v>
      </c>
    </row>
    <row r="165" spans="1:9" x14ac:dyDescent="0.35">
      <c r="A165" s="137" t="str">
        <f t="shared" ref="A165:C165" si="67">A61</f>
        <v>Regionaal- ja Põllumajandusministeerium</v>
      </c>
      <c r="B165" s="137">
        <f t="shared" si="67"/>
        <v>58</v>
      </c>
      <c r="C165" s="137" t="str">
        <f t="shared" si="67"/>
        <v>Põllumajandustootjatele suu- ja sõrataudi bioohutusnõuete täitmiseks</v>
      </c>
      <c r="D165" s="130">
        <f t="shared" ref="D165:I165" si="68">ROUND(D61/1000,0)</f>
        <v>0</v>
      </c>
      <c r="E165" s="130">
        <f t="shared" si="68"/>
        <v>1500</v>
      </c>
      <c r="F165" s="130">
        <f t="shared" si="68"/>
        <v>1355</v>
      </c>
      <c r="G165" s="130">
        <f t="shared" si="68"/>
        <v>145</v>
      </c>
      <c r="H165" s="130">
        <f t="shared" si="68"/>
        <v>0</v>
      </c>
      <c r="I165" s="130">
        <f t="shared" si="68"/>
        <v>0</v>
      </c>
    </row>
    <row r="166" spans="1:9" x14ac:dyDescent="0.35">
      <c r="A166" s="137" t="str">
        <f t="shared" ref="A166:C166" si="69">A62</f>
        <v>Regionaal- ja Põllumajandusministeerium</v>
      </c>
      <c r="B166" s="137">
        <f t="shared" si="69"/>
        <v>76.98</v>
      </c>
      <c r="C166" s="137" t="str">
        <f t="shared" si="69"/>
        <v>Trichinella uuringukulud ja loomakorjuste nõuetekohase utiliseerimisvõimekuluse tõstmine, sh matmispaikade rajamine</v>
      </c>
      <c r="D166" s="130">
        <f t="shared" ref="D166:I166" si="70">ROUND(D62/1000,0)</f>
        <v>0</v>
      </c>
      <c r="E166" s="130">
        <f t="shared" si="70"/>
        <v>1993</v>
      </c>
      <c r="F166" s="130">
        <f t="shared" si="70"/>
        <v>243</v>
      </c>
      <c r="G166" s="130">
        <f t="shared" si="70"/>
        <v>1751</v>
      </c>
      <c r="H166" s="130">
        <f t="shared" si="70"/>
        <v>0</v>
      </c>
      <c r="I166" s="130">
        <f t="shared" si="70"/>
        <v>0</v>
      </c>
    </row>
    <row r="167" spans="1:9" x14ac:dyDescent="0.35">
      <c r="A167" s="137" t="str">
        <f t="shared" ref="A167:C167" si="71">A63</f>
        <v>Regionaal- ja Põllumajandusministeerium</v>
      </c>
      <c r="B167" s="137">
        <f t="shared" si="71"/>
        <v>79</v>
      </c>
      <c r="C167" s="137" t="str">
        <f t="shared" si="71"/>
        <v>Metssealiha konservide kokkuost ja transport</v>
      </c>
      <c r="D167" s="130">
        <f t="shared" ref="D167:I167" si="72">ROUND(D63/1000,0)</f>
        <v>0</v>
      </c>
      <c r="E167" s="130">
        <f t="shared" si="72"/>
        <v>1674</v>
      </c>
      <c r="F167" s="130">
        <f t="shared" si="72"/>
        <v>583</v>
      </c>
      <c r="G167" s="130">
        <f t="shared" si="72"/>
        <v>1091</v>
      </c>
      <c r="H167" s="130">
        <f t="shared" si="72"/>
        <v>0</v>
      </c>
      <c r="I167" s="130">
        <f t="shared" si="72"/>
        <v>0</v>
      </c>
    </row>
    <row r="168" spans="1:9" x14ac:dyDescent="0.35">
      <c r="A168" s="137" t="str">
        <f t="shared" ref="A168:C168" si="73">A64</f>
        <v>Regionaal- ja Põllumajandusministeerium</v>
      </c>
      <c r="B168" s="137">
        <f t="shared" si="73"/>
        <v>82.93</v>
      </c>
      <c r="C168" s="137" t="str">
        <f t="shared" si="73"/>
        <v>Liikmemaksude kallinemine</v>
      </c>
      <c r="D168" s="130">
        <f t="shared" ref="D168:I168" si="74">ROUND(D64/1000,0)</f>
        <v>0</v>
      </c>
      <c r="E168" s="130">
        <f t="shared" si="74"/>
        <v>58</v>
      </c>
      <c r="F168" s="130">
        <f t="shared" si="74"/>
        <v>58</v>
      </c>
      <c r="G168" s="130">
        <f t="shared" si="74"/>
        <v>0</v>
      </c>
      <c r="H168" s="130">
        <f t="shared" si="74"/>
        <v>0</v>
      </c>
      <c r="I168" s="130">
        <f t="shared" si="74"/>
        <v>0</v>
      </c>
    </row>
    <row r="169" spans="1:9" x14ac:dyDescent="0.35">
      <c r="A169" s="137" t="str">
        <f t="shared" ref="A169:C169" si="75">A65</f>
        <v>Regionaal- ja Põllumajandusministeerium</v>
      </c>
      <c r="B169" s="137">
        <f t="shared" si="75"/>
        <v>88</v>
      </c>
      <c r="C169" s="137" t="str">
        <f t="shared" si="75"/>
        <v>Välistoetuste mitteabikõlblikud kulud</v>
      </c>
      <c r="D169" s="130">
        <f t="shared" ref="D169:I169" si="76">ROUND(D65/1000,0)</f>
        <v>0</v>
      </c>
      <c r="E169" s="130">
        <f t="shared" si="76"/>
        <v>931</v>
      </c>
      <c r="F169" s="130">
        <f t="shared" si="76"/>
        <v>931</v>
      </c>
      <c r="G169" s="130">
        <f t="shared" si="76"/>
        <v>0</v>
      </c>
      <c r="H169" s="130">
        <f t="shared" si="76"/>
        <v>0</v>
      </c>
      <c r="I169" s="130">
        <f t="shared" si="76"/>
        <v>0</v>
      </c>
    </row>
    <row r="170" spans="1:9" x14ac:dyDescent="0.35">
      <c r="A170" s="137" t="str">
        <f t="shared" ref="A170:C171" si="77">A66</f>
        <v>Regionaal- ja Põllumajandusministeerium</v>
      </c>
      <c r="B170" s="137">
        <f t="shared" si="77"/>
        <v>90</v>
      </c>
      <c r="C170" s="137" t="str">
        <f t="shared" si="77"/>
        <v>Välistoetuste mitteabikõlblikud kulud</v>
      </c>
      <c r="D170" s="130">
        <f t="shared" ref="D170:I171" si="78">ROUND(D66/1000,0)</f>
        <v>0</v>
      </c>
      <c r="E170" s="130">
        <f t="shared" si="78"/>
        <v>1329</v>
      </c>
      <c r="F170" s="130">
        <f t="shared" si="78"/>
        <v>1299</v>
      </c>
      <c r="G170" s="130">
        <f t="shared" si="78"/>
        <v>30</v>
      </c>
      <c r="H170" s="130">
        <f t="shared" si="78"/>
        <v>0</v>
      </c>
      <c r="I170" s="130">
        <f t="shared" si="78"/>
        <v>0</v>
      </c>
    </row>
    <row r="171" spans="1:9" x14ac:dyDescent="0.35">
      <c r="A171" s="137" t="str">
        <f t="shared" si="77"/>
        <v>Regionaal- ja Põllumajandusministeerium</v>
      </c>
      <c r="B171" s="137">
        <f t="shared" si="77"/>
        <v>95</v>
      </c>
      <c r="C171" s="137" t="str">
        <f t="shared" si="77"/>
        <v>Investeeringutoetused ning seafarmide territooriumil ja ümbruses viibimiskeelu rakendamise kulude toetused</v>
      </c>
      <c r="D171" s="130">
        <f t="shared" si="78"/>
        <v>0</v>
      </c>
      <c r="E171" s="130">
        <f t="shared" si="78"/>
        <v>3010</v>
      </c>
      <c r="F171" s="130">
        <f t="shared" si="78"/>
        <v>10</v>
      </c>
      <c r="G171" s="130">
        <f t="shared" si="78"/>
        <v>3000</v>
      </c>
      <c r="H171" s="130">
        <f t="shared" si="78"/>
        <v>0</v>
      </c>
      <c r="I171" s="130">
        <f t="shared" si="78"/>
        <v>0</v>
      </c>
    </row>
    <row r="172" spans="1:9" x14ac:dyDescent="0.35">
      <c r="A172" s="137" t="str">
        <f t="shared" ref="A172:C172" si="79">A68</f>
        <v>Rahandusministeerium</v>
      </c>
      <c r="B172" s="137">
        <f t="shared" si="79"/>
        <v>9</v>
      </c>
      <c r="C172" s="137" t="str">
        <f t="shared" si="79"/>
        <v>IKT küberturvalisuse kulud</v>
      </c>
      <c r="D172" s="130">
        <f t="shared" ref="D172:I172" si="80">ROUND(D68/1000,0)</f>
        <v>10</v>
      </c>
      <c r="E172" s="130">
        <f t="shared" si="80"/>
        <v>0</v>
      </c>
      <c r="F172" s="130">
        <f t="shared" si="80"/>
        <v>10</v>
      </c>
      <c r="G172" s="130">
        <f t="shared" si="80"/>
        <v>0</v>
      </c>
      <c r="H172" s="130">
        <f t="shared" si="80"/>
        <v>0</v>
      </c>
      <c r="I172" s="130">
        <f t="shared" si="80"/>
        <v>0</v>
      </c>
    </row>
    <row r="173" spans="1:9" x14ac:dyDescent="0.35">
      <c r="A173" s="137" t="str">
        <f t="shared" ref="A173:C173" si="81">A69</f>
        <v>Rahandusministeerium</v>
      </c>
      <c r="B173" s="137">
        <f t="shared" si="81"/>
        <v>43</v>
      </c>
      <c r="C173" s="137" t="str">
        <f t="shared" si="81"/>
        <v>Laiapindse riigikaitse tegevuskulud</v>
      </c>
      <c r="D173" s="130">
        <f t="shared" ref="D173:I173" si="82">ROUND(D69/1000,0)</f>
        <v>2</v>
      </c>
      <c r="E173" s="130">
        <f t="shared" si="82"/>
        <v>0</v>
      </c>
      <c r="F173" s="130">
        <f t="shared" si="82"/>
        <v>2</v>
      </c>
      <c r="G173" s="130">
        <f t="shared" si="82"/>
        <v>0</v>
      </c>
      <c r="H173" s="130">
        <f t="shared" si="82"/>
        <v>0</v>
      </c>
      <c r="I173" s="130">
        <f t="shared" si="82"/>
        <v>0</v>
      </c>
    </row>
    <row r="174" spans="1:9" x14ac:dyDescent="0.35">
      <c r="A174" s="137" t="str">
        <f t="shared" ref="A174:C174" si="83">A70</f>
        <v>Rahandusministeerium</v>
      </c>
      <c r="B174" s="137">
        <f t="shared" si="83"/>
        <v>47</v>
      </c>
      <c r="C174" s="137" t="str">
        <f t="shared" si="83"/>
        <v>Rahapesu vastase võitluse tegevused</v>
      </c>
      <c r="D174" s="130">
        <f t="shared" ref="D174:I174" si="84">ROUND(D70/1000,0)</f>
        <v>23</v>
      </c>
      <c r="E174" s="130">
        <f t="shared" si="84"/>
        <v>0</v>
      </c>
      <c r="F174" s="130">
        <f t="shared" si="84"/>
        <v>22</v>
      </c>
      <c r="G174" s="130">
        <f t="shared" si="84"/>
        <v>1</v>
      </c>
      <c r="H174" s="130">
        <f t="shared" si="84"/>
        <v>0</v>
      </c>
      <c r="I174" s="130">
        <f t="shared" si="84"/>
        <v>0</v>
      </c>
    </row>
    <row r="175" spans="1:9" x14ac:dyDescent="0.35">
      <c r="A175" s="137" t="str">
        <f t="shared" ref="A175:C175" si="85">A71</f>
        <v>Rahandusministeerium</v>
      </c>
      <c r="B175" s="137">
        <f t="shared" si="85"/>
        <v>125</v>
      </c>
      <c r="C175" s="137" t="str">
        <f t="shared" si="85"/>
        <v>Teadusuuringud</v>
      </c>
      <c r="D175" s="130">
        <f t="shared" ref="D175:I175" si="86">ROUND(D71/1000,0)</f>
        <v>73</v>
      </c>
      <c r="E175" s="130">
        <f t="shared" si="86"/>
        <v>0</v>
      </c>
      <c r="F175" s="130">
        <f t="shared" si="86"/>
        <v>0</v>
      </c>
      <c r="G175" s="130">
        <f t="shared" si="86"/>
        <v>73</v>
      </c>
      <c r="H175" s="130">
        <f t="shared" si="86"/>
        <v>0</v>
      </c>
      <c r="I175" s="130">
        <f t="shared" si="86"/>
        <v>0</v>
      </c>
    </row>
    <row r="176" spans="1:9" x14ac:dyDescent="0.35">
      <c r="A176" s="137" t="str">
        <f t="shared" ref="A176:C176" si="87">A72</f>
        <v>Rahandusministeerium</v>
      </c>
      <c r="B176" s="137">
        <f t="shared" si="87"/>
        <v>127</v>
      </c>
      <c r="C176" s="137" t="str">
        <f t="shared" si="87"/>
        <v>Elutähtsa teenuse osutajate toimepidevuse direktiivi rakendamiseks töötamise registri arendamine</v>
      </c>
      <c r="D176" s="130">
        <f t="shared" ref="D176:I176" si="88">ROUND(D72/1000,0)</f>
        <v>28</v>
      </c>
      <c r="E176" s="130">
        <f t="shared" si="88"/>
        <v>0</v>
      </c>
      <c r="F176" s="130">
        <f t="shared" si="88"/>
        <v>28</v>
      </c>
      <c r="G176" s="130">
        <f t="shared" si="88"/>
        <v>0</v>
      </c>
      <c r="H176" s="130">
        <f t="shared" si="88"/>
        <v>0</v>
      </c>
      <c r="I176" s="130">
        <f t="shared" si="88"/>
        <v>0</v>
      </c>
    </row>
    <row r="177" spans="1:9" x14ac:dyDescent="0.35">
      <c r="A177" s="137" t="str">
        <f t="shared" ref="A177:C177" si="89">A73</f>
        <v>Rahandusministeerium</v>
      </c>
      <c r="B177" s="137">
        <f t="shared" si="89"/>
        <v>24</v>
      </c>
      <c r="C177" s="137" t="str">
        <f t="shared" si="89"/>
        <v>Laiapindse riigikaitse tegevused</v>
      </c>
      <c r="D177" s="130">
        <f t="shared" ref="D177:I177" si="90">ROUND(D73/1000,0)</f>
        <v>0</v>
      </c>
      <c r="E177" s="130">
        <f t="shared" si="90"/>
        <v>1146</v>
      </c>
      <c r="F177" s="130">
        <f t="shared" si="90"/>
        <v>934</v>
      </c>
      <c r="G177" s="130">
        <f t="shared" si="90"/>
        <v>212</v>
      </c>
      <c r="H177" s="130">
        <f t="shared" si="90"/>
        <v>0</v>
      </c>
      <c r="I177" s="130">
        <f t="shared" si="90"/>
        <v>0</v>
      </c>
    </row>
    <row r="178" spans="1:9" x14ac:dyDescent="0.35">
      <c r="A178" s="137" t="str">
        <f t="shared" ref="A178:C178" si="91">A74</f>
        <v>Rahandusministeerium</v>
      </c>
      <c r="B178" s="137">
        <f t="shared" si="91"/>
        <v>31</v>
      </c>
      <c r="C178" s="137" t="str">
        <f t="shared" si="91"/>
        <v>Laia riigikaitse  sanktsioonikuritegude menetlemine</v>
      </c>
      <c r="D178" s="130">
        <f t="shared" ref="D178:I178" si="92">ROUND(D74/1000,0)</f>
        <v>0</v>
      </c>
      <c r="E178" s="130">
        <f t="shared" si="92"/>
        <v>507</v>
      </c>
      <c r="F178" s="130">
        <f t="shared" si="92"/>
        <v>456</v>
      </c>
      <c r="G178" s="130">
        <f t="shared" si="92"/>
        <v>51</v>
      </c>
      <c r="H178" s="130">
        <f t="shared" si="92"/>
        <v>0</v>
      </c>
      <c r="I178" s="130">
        <f t="shared" si="92"/>
        <v>0</v>
      </c>
    </row>
    <row r="179" spans="1:9" x14ac:dyDescent="0.35">
      <c r="A179" s="137" t="str">
        <f t="shared" ref="A179:C179" si="93">A75</f>
        <v>Siseministeerium</v>
      </c>
      <c r="B179" s="137">
        <f t="shared" si="93"/>
        <v>50</v>
      </c>
      <c r="C179" s="137" t="str">
        <f t="shared" si="93"/>
        <v>Laiapindse riigikaitse, sh elanikkonnakaitse arendamise kulud ja investeeringud</v>
      </c>
      <c r="D179" s="130">
        <f t="shared" ref="D179:I179" si="94">ROUND(D75/1000,0)</f>
        <v>1014</v>
      </c>
      <c r="E179" s="130">
        <f t="shared" si="94"/>
        <v>0</v>
      </c>
      <c r="F179" s="130">
        <f t="shared" si="94"/>
        <v>992</v>
      </c>
      <c r="G179" s="130">
        <f t="shared" si="94"/>
        <v>22</v>
      </c>
      <c r="H179" s="130">
        <f t="shared" si="94"/>
        <v>0</v>
      </c>
      <c r="I179" s="130">
        <f t="shared" si="94"/>
        <v>0</v>
      </c>
    </row>
    <row r="180" spans="1:9" x14ac:dyDescent="0.35">
      <c r="A180" s="137" t="str">
        <f t="shared" ref="A180:C180" si="95">A76</f>
        <v>Siseministeerium</v>
      </c>
      <c r="B180" s="137">
        <f t="shared" si="95"/>
        <v>95</v>
      </c>
      <c r="C180" s="137" t="str">
        <f t="shared" si="95"/>
        <v>Idapiiri väljaehitamine ja taristu investeeringud</v>
      </c>
      <c r="D180" s="130">
        <f t="shared" ref="D180:I180" si="96">ROUND(D76/1000,0)</f>
        <v>6740</v>
      </c>
      <c r="E180" s="130">
        <f t="shared" si="96"/>
        <v>0</v>
      </c>
      <c r="F180" s="130">
        <f t="shared" si="96"/>
        <v>6740</v>
      </c>
      <c r="G180" s="130">
        <f t="shared" si="96"/>
        <v>0</v>
      </c>
      <c r="H180" s="130">
        <f t="shared" si="96"/>
        <v>0</v>
      </c>
      <c r="I180" s="130">
        <f t="shared" si="96"/>
        <v>0</v>
      </c>
    </row>
    <row r="181" spans="1:9" x14ac:dyDescent="0.35">
      <c r="A181" s="137" t="str">
        <f t="shared" ref="A181:C181" si="97">A77</f>
        <v>Siseministeerium</v>
      </c>
      <c r="B181" s="137">
        <f t="shared" si="97"/>
        <v>100</v>
      </c>
      <c r="C181" s="137" t="str">
        <f t="shared" si="97"/>
        <v>Küberturvalisuse tagamine</v>
      </c>
      <c r="D181" s="130">
        <f t="shared" ref="D181:I181" si="98">ROUND(D77/1000,0)</f>
        <v>133</v>
      </c>
      <c r="E181" s="130">
        <f t="shared" si="98"/>
        <v>0</v>
      </c>
      <c r="F181" s="130">
        <f t="shared" si="98"/>
        <v>133</v>
      </c>
      <c r="G181" s="130">
        <f t="shared" si="98"/>
        <v>0</v>
      </c>
      <c r="H181" s="130">
        <f t="shared" si="98"/>
        <v>0</v>
      </c>
      <c r="I181" s="130">
        <f t="shared" si="98"/>
        <v>0</v>
      </c>
    </row>
    <row r="182" spans="1:9" x14ac:dyDescent="0.35">
      <c r="A182" s="137" t="str">
        <f t="shared" ref="A182:C182" si="99">A78</f>
        <v>Siseministeerium</v>
      </c>
      <c r="B182" s="137">
        <f t="shared" si="99"/>
        <v>113</v>
      </c>
      <c r="C182" s="137" t="str">
        <f t="shared" si="99"/>
        <v>Energiasäästumeetme rakendamine</v>
      </c>
      <c r="D182" s="130">
        <f t="shared" ref="D182:I182" si="100">ROUND(D78/1000,0)</f>
        <v>60</v>
      </c>
      <c r="E182" s="130">
        <f t="shared" si="100"/>
        <v>0</v>
      </c>
      <c r="F182" s="130">
        <f t="shared" si="100"/>
        <v>45</v>
      </c>
      <c r="G182" s="130">
        <f t="shared" si="100"/>
        <v>15</v>
      </c>
      <c r="H182" s="130">
        <f t="shared" si="100"/>
        <v>0</v>
      </c>
      <c r="I182" s="130">
        <f t="shared" si="100"/>
        <v>0</v>
      </c>
    </row>
    <row r="183" spans="1:9" x14ac:dyDescent="0.35">
      <c r="A183" s="137" t="str">
        <f t="shared" ref="A183:C183" si="101">A79</f>
        <v>Siseministeerium</v>
      </c>
      <c r="B183" s="137">
        <f t="shared" si="101"/>
        <v>124</v>
      </c>
      <c r="C183" s="137" t="str">
        <f t="shared" si="101"/>
        <v>Energiasäästumeetme rakendamine</v>
      </c>
      <c r="D183" s="130">
        <f t="shared" ref="D183:I183" si="102">ROUND(D79/1000,0)</f>
        <v>6</v>
      </c>
      <c r="E183" s="130">
        <f t="shared" si="102"/>
        <v>0</v>
      </c>
      <c r="F183" s="130">
        <f t="shared" si="102"/>
        <v>0</v>
      </c>
      <c r="G183" s="130">
        <f t="shared" si="102"/>
        <v>6</v>
      </c>
      <c r="H183" s="130">
        <f t="shared" si="102"/>
        <v>0</v>
      </c>
      <c r="I183" s="130">
        <f t="shared" si="102"/>
        <v>0</v>
      </c>
    </row>
    <row r="184" spans="1:9" x14ac:dyDescent="0.35">
      <c r="A184" s="137" t="str">
        <f t="shared" ref="A184:C184" si="103">A80</f>
        <v>Siseministeerium</v>
      </c>
      <c r="B184" s="137">
        <f t="shared" si="103"/>
        <v>132</v>
      </c>
      <c r="C184" s="137" t="str">
        <f t="shared" si="103"/>
        <v>Automaatse biomeetrilise identifitseerimissüsteemi rakendamine</v>
      </c>
      <c r="D184" s="130">
        <f t="shared" ref="D184:I184" si="104">ROUND(D80/1000,0)</f>
        <v>795</v>
      </c>
      <c r="E184" s="130">
        <f t="shared" si="104"/>
        <v>0</v>
      </c>
      <c r="F184" s="130">
        <f t="shared" si="104"/>
        <v>794</v>
      </c>
      <c r="G184" s="130">
        <f t="shared" si="104"/>
        <v>1</v>
      </c>
      <c r="H184" s="130">
        <f t="shared" si="104"/>
        <v>0</v>
      </c>
      <c r="I184" s="130">
        <f t="shared" si="104"/>
        <v>0</v>
      </c>
    </row>
    <row r="185" spans="1:9" x14ac:dyDescent="0.35">
      <c r="A185" s="137" t="str">
        <f t="shared" ref="A185:C185" si="105">A81</f>
        <v>Siseministeerium</v>
      </c>
      <c r="B185" s="137">
        <f t="shared" si="105"/>
        <v>133</v>
      </c>
      <c r="C185" s="137" t="str">
        <f t="shared" si="105"/>
        <v>Ukraina sõjapõgenikega seotud kulud</v>
      </c>
      <c r="D185" s="130">
        <f t="shared" ref="D185:I185" si="106">ROUND(D81/1000,0)</f>
        <v>817</v>
      </c>
      <c r="E185" s="130">
        <f t="shared" si="106"/>
        <v>0</v>
      </c>
      <c r="F185" s="130">
        <f t="shared" si="106"/>
        <v>806</v>
      </c>
      <c r="G185" s="130">
        <f t="shared" si="106"/>
        <v>11</v>
      </c>
      <c r="H185" s="130">
        <f t="shared" si="106"/>
        <v>0</v>
      </c>
      <c r="I185" s="130">
        <f t="shared" si="106"/>
        <v>0</v>
      </c>
    </row>
    <row r="186" spans="1:9" x14ac:dyDescent="0.35">
      <c r="A186" s="137" t="str">
        <f t="shared" ref="A186:C186" si="107">A82</f>
        <v>Siseministeerium</v>
      </c>
      <c r="B186" s="137">
        <f t="shared" si="107"/>
        <v>134</v>
      </c>
      <c r="C186" s="137" t="str">
        <f t="shared" si="107"/>
        <v>Elutähtsa teenuse toimepidavuse direktiivi rakendamine</v>
      </c>
      <c r="D186" s="130">
        <f t="shared" ref="D186:I186" si="108">ROUND(D82/1000,0)</f>
        <v>33</v>
      </c>
      <c r="E186" s="130">
        <f t="shared" si="108"/>
        <v>0</v>
      </c>
      <c r="F186" s="130">
        <f t="shared" si="108"/>
        <v>32</v>
      </c>
      <c r="G186" s="130">
        <f t="shared" si="108"/>
        <v>0</v>
      </c>
      <c r="H186" s="130">
        <f t="shared" si="108"/>
        <v>0</v>
      </c>
      <c r="I186" s="130">
        <f t="shared" si="108"/>
        <v>0</v>
      </c>
    </row>
    <row r="187" spans="1:9" x14ac:dyDescent="0.35">
      <c r="A187" s="137" t="str">
        <f t="shared" ref="A187:C188" si="109">A83</f>
        <v>Siseministeerium</v>
      </c>
      <c r="B187" s="137">
        <f t="shared" si="109"/>
        <v>12</v>
      </c>
      <c r="C187" s="137" t="str">
        <f t="shared" si="109"/>
        <v>Siseturvalisuse fondide erimeetmete kaasrahastamine</v>
      </c>
      <c r="D187" s="130">
        <f t="shared" ref="D187:I188" si="110">ROUND(D83/1000,0)</f>
        <v>0</v>
      </c>
      <c r="E187" s="130">
        <f t="shared" si="110"/>
        <v>1044</v>
      </c>
      <c r="F187" s="130">
        <f t="shared" si="110"/>
        <v>0</v>
      </c>
      <c r="G187" s="130">
        <f t="shared" si="110"/>
        <v>1044</v>
      </c>
      <c r="H187" s="130">
        <f t="shared" si="110"/>
        <v>0</v>
      </c>
      <c r="I187" s="130">
        <f t="shared" si="110"/>
        <v>0</v>
      </c>
    </row>
    <row r="188" spans="1:9" x14ac:dyDescent="0.35">
      <c r="A188" s="137" t="str">
        <f t="shared" si="109"/>
        <v>Siseministeerium</v>
      </c>
      <c r="B188" s="137">
        <f t="shared" si="109"/>
        <v>25</v>
      </c>
      <c r="C188" s="137" t="str">
        <f t="shared" si="109"/>
        <v>EL digiteenuste määruse rakendamine</v>
      </c>
      <c r="D188" s="130">
        <f t="shared" si="110"/>
        <v>0</v>
      </c>
      <c r="E188" s="130">
        <f t="shared" si="110"/>
        <v>124</v>
      </c>
      <c r="F188" s="130">
        <f t="shared" si="110"/>
        <v>95</v>
      </c>
      <c r="G188" s="130">
        <f t="shared" si="110"/>
        <v>29</v>
      </c>
      <c r="H188" s="130">
        <f t="shared" si="110"/>
        <v>0</v>
      </c>
      <c r="I188" s="130">
        <f t="shared" si="110"/>
        <v>0</v>
      </c>
    </row>
    <row r="189" spans="1:9" x14ac:dyDescent="0.35">
      <c r="A189" s="137" t="str">
        <f t="shared" ref="A189:C189" si="111">A85</f>
        <v>Siseministeerium</v>
      </c>
      <c r="B189" s="137">
        <f t="shared" si="111"/>
        <v>42</v>
      </c>
      <c r="C189" s="137" t="str">
        <f t="shared" si="111"/>
        <v>Laiapindse riigikaitse ja elanikkonnakaitse arendamine</v>
      </c>
      <c r="D189" s="130">
        <f t="shared" ref="D189:I189" si="112">ROUND(D85/1000,0)</f>
        <v>0</v>
      </c>
      <c r="E189" s="130">
        <f t="shared" si="112"/>
        <v>16698</v>
      </c>
      <c r="F189" s="130">
        <f t="shared" si="112"/>
        <v>16144</v>
      </c>
      <c r="G189" s="130">
        <f t="shared" si="112"/>
        <v>554</v>
      </c>
      <c r="H189" s="130">
        <f t="shared" si="112"/>
        <v>0</v>
      </c>
      <c r="I189" s="130">
        <f t="shared" si="112"/>
        <v>0</v>
      </c>
    </row>
    <row r="190" spans="1:9" x14ac:dyDescent="0.35">
      <c r="A190" s="137" t="str">
        <f t="shared" ref="A190:C190" si="113">A86</f>
        <v>Siseministeerium</v>
      </c>
      <c r="B190" s="137">
        <f t="shared" si="113"/>
        <v>60</v>
      </c>
      <c r="C190" s="137" t="str">
        <f t="shared" si="113"/>
        <v>Automaatse biomeetrilise identifitseerimissüsteemi rakendamine</v>
      </c>
      <c r="D190" s="130">
        <f t="shared" ref="D190:I190" si="114">ROUND(D86/1000,0)</f>
        <v>0</v>
      </c>
      <c r="E190" s="130">
        <f t="shared" si="114"/>
        <v>1178</v>
      </c>
      <c r="F190" s="130">
        <f t="shared" si="114"/>
        <v>116</v>
      </c>
      <c r="G190" s="130">
        <f t="shared" si="114"/>
        <v>1061</v>
      </c>
      <c r="H190" s="130">
        <f t="shared" si="114"/>
        <v>0</v>
      </c>
      <c r="I190" s="130">
        <f t="shared" si="114"/>
        <v>0</v>
      </c>
    </row>
    <row r="191" spans="1:9" x14ac:dyDescent="0.35">
      <c r="A191" s="137" t="str">
        <f t="shared" ref="A191:C191" si="115">A87</f>
        <v>Siseministeerium</v>
      </c>
      <c r="B191" s="137">
        <f t="shared" si="115"/>
        <v>62</v>
      </c>
      <c r="C191" s="137" t="str">
        <f t="shared" si="115"/>
        <v>Ukraina sõjapõgenikega seotud tegevused</v>
      </c>
      <c r="D191" s="130">
        <f t="shared" ref="D191:I191" si="116">ROUND(D87/1000,0)</f>
        <v>0</v>
      </c>
      <c r="E191" s="130">
        <f t="shared" si="116"/>
        <v>5178</v>
      </c>
      <c r="F191" s="130">
        <f t="shared" si="116"/>
        <v>3553</v>
      </c>
      <c r="G191" s="130">
        <f t="shared" si="116"/>
        <v>1625</v>
      </c>
      <c r="H191" s="130">
        <f t="shared" si="116"/>
        <v>0</v>
      </c>
      <c r="I191" s="130">
        <f t="shared" si="116"/>
        <v>0</v>
      </c>
    </row>
    <row r="192" spans="1:9" x14ac:dyDescent="0.35">
      <c r="A192" s="137" t="str">
        <f t="shared" ref="A192:C192" si="117">A88</f>
        <v>Siseministeerium</v>
      </c>
      <c r="B192" s="137">
        <f t="shared" si="117"/>
        <v>85</v>
      </c>
      <c r="C192" s="137" t="str">
        <f t="shared" si="117"/>
        <v>Arraiolise tippkohtumise turvamine</v>
      </c>
      <c r="D192" s="130">
        <f t="shared" ref="D192:I192" si="118">ROUND(D88/1000,0)</f>
        <v>0</v>
      </c>
      <c r="E192" s="130">
        <f t="shared" si="118"/>
        <v>139</v>
      </c>
      <c r="F192" s="130">
        <f t="shared" si="118"/>
        <v>135</v>
      </c>
      <c r="G192" s="130">
        <f t="shared" si="118"/>
        <v>4</v>
      </c>
      <c r="H192" s="130">
        <f t="shared" si="118"/>
        <v>0</v>
      </c>
      <c r="I192" s="130">
        <f t="shared" si="118"/>
        <v>0</v>
      </c>
    </row>
    <row r="193" spans="1:9" x14ac:dyDescent="0.35">
      <c r="A193" s="137" t="str">
        <f t="shared" ref="A193:C193" si="119">A89</f>
        <v>Siseministeerium</v>
      </c>
      <c r="B193" s="137">
        <f t="shared" si="119"/>
        <v>89</v>
      </c>
      <c r="C193" s="137" t="str">
        <f t="shared" si="119"/>
        <v>Laiapindse riigikaitse ja elanikkonnakaitse arendamine</v>
      </c>
      <c r="D193" s="130">
        <f t="shared" ref="D193:I193" si="120">ROUND(D89/1000,0)</f>
        <v>0</v>
      </c>
      <c r="E193" s="130">
        <f t="shared" si="120"/>
        <v>1572</v>
      </c>
      <c r="F193" s="130">
        <f t="shared" si="120"/>
        <v>1365</v>
      </c>
      <c r="G193" s="130">
        <f t="shared" si="120"/>
        <v>207</v>
      </c>
      <c r="H193" s="130">
        <f t="shared" si="120"/>
        <v>0</v>
      </c>
      <c r="I193" s="130">
        <f t="shared" si="120"/>
        <v>0</v>
      </c>
    </row>
    <row r="194" spans="1:9" x14ac:dyDescent="0.35">
      <c r="A194" s="137" t="str">
        <f t="shared" ref="A194:C194" si="121">A90</f>
        <v>Sotsiaalministeerium</v>
      </c>
      <c r="B194" s="137">
        <f t="shared" si="121"/>
        <v>44</v>
      </c>
      <c r="C194" s="137" t="str">
        <f t="shared" si="121"/>
        <v>Laiapindse riigikaitse, sh elanikkonnakaitse arendamine</v>
      </c>
      <c r="D194" s="130">
        <f t="shared" ref="D194:I194" si="122">ROUND(D90/1000,0)</f>
        <v>121</v>
      </c>
      <c r="E194" s="130">
        <f t="shared" si="122"/>
        <v>0</v>
      </c>
      <c r="F194" s="130">
        <f t="shared" si="122"/>
        <v>117</v>
      </c>
      <c r="G194" s="130">
        <f t="shared" si="122"/>
        <v>4</v>
      </c>
      <c r="H194" s="130">
        <f t="shared" si="122"/>
        <v>0</v>
      </c>
      <c r="I194" s="130">
        <f t="shared" si="122"/>
        <v>0</v>
      </c>
    </row>
    <row r="195" spans="1:9" x14ac:dyDescent="0.35">
      <c r="A195" s="137" t="str">
        <f t="shared" ref="A195:C195" si="123">A91</f>
        <v>Sotsiaalministeerium</v>
      </c>
      <c r="B195" s="137">
        <f t="shared" si="123"/>
        <v>52</v>
      </c>
      <c r="C195" s="137" t="str">
        <f t="shared" si="123"/>
        <v>Ukraina sõjapõgenimega seotud kulud</v>
      </c>
      <c r="D195" s="130">
        <f t="shared" ref="D195:I195" si="124">ROUND(D91/1000,0)</f>
        <v>3892</v>
      </c>
      <c r="E195" s="130">
        <f t="shared" si="124"/>
        <v>0</v>
      </c>
      <c r="F195" s="130">
        <f t="shared" si="124"/>
        <v>2879</v>
      </c>
      <c r="G195" s="130">
        <f t="shared" si="124"/>
        <v>1013</v>
      </c>
      <c r="H195" s="130">
        <f t="shared" si="124"/>
        <v>0</v>
      </c>
      <c r="I195" s="130">
        <f t="shared" si="124"/>
        <v>0</v>
      </c>
    </row>
    <row r="196" spans="1:9" x14ac:dyDescent="0.35">
      <c r="A196" s="137" t="str">
        <f t="shared" ref="A196:C196" si="125">A92</f>
        <v>Sotsiaalministeerium</v>
      </c>
      <c r="B196" s="137">
        <f t="shared" si="125"/>
        <v>69</v>
      </c>
      <c r="C196" s="137" t="str">
        <f t="shared" si="125"/>
        <v>Ukraina sõjapõgenimega seotud kulud</v>
      </c>
      <c r="D196" s="130">
        <f t="shared" ref="D196:I196" si="126">ROUND(D92/1000,0)</f>
        <v>281</v>
      </c>
      <c r="E196" s="130">
        <f t="shared" si="126"/>
        <v>0</v>
      </c>
      <c r="F196" s="130">
        <f t="shared" si="126"/>
        <v>6</v>
      </c>
      <c r="G196" s="130">
        <f t="shared" si="126"/>
        <v>275</v>
      </c>
      <c r="H196" s="130">
        <f t="shared" si="126"/>
        <v>0</v>
      </c>
      <c r="I196" s="130">
        <f t="shared" si="126"/>
        <v>0</v>
      </c>
    </row>
    <row r="197" spans="1:9" x14ac:dyDescent="0.35">
      <c r="A197" s="137" t="str">
        <f t="shared" ref="A197:C197" si="127">A93</f>
        <v>Sotsiaalministeerium</v>
      </c>
      <c r="B197" s="137">
        <f t="shared" si="127"/>
        <v>96</v>
      </c>
      <c r="C197" s="137" t="str">
        <f t="shared" si="127"/>
        <v>Tervishoiuvaru haldamine ja tervishoiuteenuste osutajate kriisitoimepidevuse tõstmine</v>
      </c>
      <c r="D197" s="130">
        <f t="shared" ref="D197:I197" si="128">ROUND(D93/1000,0)</f>
        <v>1220</v>
      </c>
      <c r="E197" s="130">
        <f t="shared" si="128"/>
        <v>0</v>
      </c>
      <c r="F197" s="130">
        <f t="shared" si="128"/>
        <v>1220</v>
      </c>
      <c r="G197" s="130">
        <f t="shared" si="128"/>
        <v>0</v>
      </c>
      <c r="H197" s="130">
        <f t="shared" si="128"/>
        <v>0</v>
      </c>
      <c r="I197" s="130">
        <f t="shared" si="128"/>
        <v>0</v>
      </c>
    </row>
    <row r="198" spans="1:9" x14ac:dyDescent="0.35">
      <c r="A198" s="137" t="str">
        <f t="shared" ref="A198:C198" si="129">A94</f>
        <v>Sotsiaalministeerium</v>
      </c>
      <c r="B198" s="137">
        <f t="shared" si="129"/>
        <v>20</v>
      </c>
      <c r="C198" s="137" t="str">
        <f t="shared" si="129"/>
        <v>Hädaolukorra seaduse muutmine ja EL elutähtsate teenuste toimepidavuse tagamise direktiivi ülevõtmine</v>
      </c>
      <c r="D198" s="130">
        <f t="shared" ref="D198:I198" si="130">ROUND(D94/1000,0)</f>
        <v>0</v>
      </c>
      <c r="E198" s="130">
        <f t="shared" si="130"/>
        <v>63</v>
      </c>
      <c r="F198" s="130">
        <f t="shared" si="130"/>
        <v>16</v>
      </c>
      <c r="G198" s="130">
        <f t="shared" si="130"/>
        <v>47</v>
      </c>
      <c r="H198" s="130">
        <f t="shared" si="130"/>
        <v>0</v>
      </c>
      <c r="I198" s="130">
        <f t="shared" si="130"/>
        <v>0</v>
      </c>
    </row>
    <row r="199" spans="1:9" x14ac:dyDescent="0.35">
      <c r="A199" s="137" t="str">
        <f t="shared" ref="A199:C199" si="131">A95</f>
        <v>Sotsiaalministeerium</v>
      </c>
      <c r="B199" s="137">
        <f t="shared" si="131"/>
        <v>55</v>
      </c>
      <c r="C199" s="137" t="str">
        <f t="shared" si="131"/>
        <v>Ukraina sõjapõgenikele tervishoiuteenuste osutamine</v>
      </c>
      <c r="D199" s="130">
        <f t="shared" ref="D199:I199" si="132">ROUND(D95/1000,0)</f>
        <v>0</v>
      </c>
      <c r="E199" s="130">
        <f t="shared" si="132"/>
        <v>2259</v>
      </c>
      <c r="F199" s="130">
        <f t="shared" si="132"/>
        <v>2237</v>
      </c>
      <c r="G199" s="130">
        <f t="shared" si="132"/>
        <v>22</v>
      </c>
      <c r="H199" s="130">
        <f t="shared" si="132"/>
        <v>0</v>
      </c>
      <c r="I199" s="130">
        <f t="shared" si="132"/>
        <v>0</v>
      </c>
    </row>
    <row r="200" spans="1:9" x14ac:dyDescent="0.35">
      <c r="A200" s="137" t="str">
        <f t="shared" ref="A200:C200" si="133">A96</f>
        <v>Sotsiaalministeerium</v>
      </c>
      <c r="B200" s="137">
        <f t="shared" si="133"/>
        <v>57.84</v>
      </c>
      <c r="C200" s="137" t="str">
        <f t="shared" si="133"/>
        <v>Virtuaalse privaatvõrgu lahenduse kasutuselevõtmine</v>
      </c>
      <c r="D200" s="130">
        <f t="shared" ref="D200:I200" si="134">ROUND(D96/1000,0)</f>
        <v>0</v>
      </c>
      <c r="E200" s="130">
        <f t="shared" si="134"/>
        <v>177</v>
      </c>
      <c r="F200" s="130">
        <f t="shared" si="134"/>
        <v>149</v>
      </c>
      <c r="G200" s="130">
        <f t="shared" si="134"/>
        <v>28</v>
      </c>
      <c r="H200" s="130">
        <f t="shared" si="134"/>
        <v>0</v>
      </c>
      <c r="I200" s="130">
        <f t="shared" si="134"/>
        <v>0</v>
      </c>
    </row>
    <row r="201" spans="1:9" x14ac:dyDescent="0.35">
      <c r="A201" s="137" t="str">
        <f t="shared" ref="A201:C201" si="135">A97</f>
        <v>Sotsiaalministeerium</v>
      </c>
      <c r="B201" s="137">
        <f t="shared" si="135"/>
        <v>59</v>
      </c>
      <c r="C201" s="137" t="str">
        <f t="shared" si="135"/>
        <v>Tervishoiu hädaolukordadeks ja riigikaitseks valmistumise korraldamine</v>
      </c>
      <c r="D201" s="130">
        <f t="shared" ref="D201:I201" si="136">ROUND(D97/1000,0)</f>
        <v>0</v>
      </c>
      <c r="E201" s="130">
        <f t="shared" si="136"/>
        <v>739</v>
      </c>
      <c r="F201" s="130">
        <f t="shared" si="136"/>
        <v>659</v>
      </c>
      <c r="G201" s="130">
        <f t="shared" si="136"/>
        <v>79</v>
      </c>
      <c r="H201" s="130">
        <f t="shared" si="136"/>
        <v>0</v>
      </c>
      <c r="I201" s="130">
        <f t="shared" si="136"/>
        <v>0</v>
      </c>
    </row>
    <row r="202" spans="1:9" x14ac:dyDescent="0.35">
      <c r="A202" s="137" t="str">
        <f t="shared" ref="A202:C202" si="137">A98</f>
        <v>Sotsiaalministeerium</v>
      </c>
      <c r="B202" s="137">
        <f t="shared" si="137"/>
        <v>88</v>
      </c>
      <c r="C202" s="137" t="str">
        <f t="shared" si="137"/>
        <v>Välistoetuste mitteabikõlblikud kulud</v>
      </c>
      <c r="D202" s="130">
        <f t="shared" ref="D202:I202" si="138">ROUND(D98/1000,0)</f>
        <v>0</v>
      </c>
      <c r="E202" s="130">
        <f t="shared" si="138"/>
        <v>865</v>
      </c>
      <c r="F202" s="130">
        <f t="shared" si="138"/>
        <v>865</v>
      </c>
      <c r="G202" s="130">
        <f t="shared" si="138"/>
        <v>0</v>
      </c>
      <c r="H202" s="130">
        <f t="shared" si="138"/>
        <v>0</v>
      </c>
      <c r="I202" s="130">
        <f t="shared" si="138"/>
        <v>0</v>
      </c>
    </row>
    <row r="203" spans="1:9" x14ac:dyDescent="0.35">
      <c r="A203" s="137" t="str">
        <f t="shared" ref="A203:C203" si="139">A99</f>
        <v>Välisministeerium</v>
      </c>
      <c r="B203" s="137">
        <f t="shared" si="139"/>
        <v>78</v>
      </c>
      <c r="C203" s="137" t="str">
        <f t="shared" si="139"/>
        <v>IKT küberturvalisuse kulud ja investeeringud</v>
      </c>
      <c r="D203" s="130">
        <f t="shared" ref="D203:I203" si="140">ROUND(D99/1000,0)</f>
        <v>92</v>
      </c>
      <c r="E203" s="130">
        <f t="shared" si="140"/>
        <v>0</v>
      </c>
      <c r="F203" s="130">
        <f t="shared" si="140"/>
        <v>92</v>
      </c>
      <c r="G203" s="130">
        <f t="shared" si="140"/>
        <v>0</v>
      </c>
      <c r="H203" s="130">
        <f t="shared" si="140"/>
        <v>0</v>
      </c>
      <c r="I203" s="130">
        <f t="shared" si="140"/>
        <v>0</v>
      </c>
    </row>
    <row r="204" spans="1:9" x14ac:dyDescent="0.35">
      <c r="A204" s="137" t="str">
        <f t="shared" ref="A204:C204" si="141">A100</f>
        <v>Välisministeerium</v>
      </c>
      <c r="B204" s="137">
        <f t="shared" si="141"/>
        <v>90</v>
      </c>
      <c r="C204" s="137" t="str">
        <f t="shared" si="141"/>
        <v>Venemaa, Aasia ja Arktika suunalised rakendusuuringud ja diplomaatia ajaloo uurimine</v>
      </c>
      <c r="D204" s="130">
        <f t="shared" ref="D204:I204" si="142">ROUND(D100/1000,0)</f>
        <v>797</v>
      </c>
      <c r="E204" s="130">
        <f t="shared" si="142"/>
        <v>0</v>
      </c>
      <c r="F204" s="130">
        <f t="shared" si="142"/>
        <v>773</v>
      </c>
      <c r="G204" s="130">
        <f t="shared" si="142"/>
        <v>24</v>
      </c>
      <c r="H204" s="130">
        <f t="shared" si="142"/>
        <v>0</v>
      </c>
      <c r="I204" s="130">
        <f t="shared" si="142"/>
        <v>0</v>
      </c>
    </row>
    <row r="205" spans="1:9" x14ac:dyDescent="0.35">
      <c r="A205" s="137" t="str">
        <f t="shared" ref="A205:C205" si="143">A101</f>
        <v>Välisministeerium</v>
      </c>
      <c r="B205" s="137">
        <f t="shared" si="143"/>
        <v>23</v>
      </c>
      <c r="C205" s="137" t="str">
        <f t="shared" si="143"/>
        <v>Sidevõrkude laiendamine ja turbetaseme tõstmine</v>
      </c>
      <c r="D205" s="130">
        <f t="shared" ref="D205:I205" si="144">ROUND(D101/1000,0)</f>
        <v>0</v>
      </c>
      <c r="E205" s="130">
        <f t="shared" si="144"/>
        <v>892</v>
      </c>
      <c r="F205" s="130">
        <f t="shared" si="144"/>
        <v>563</v>
      </c>
      <c r="G205" s="130">
        <f t="shared" si="144"/>
        <v>329</v>
      </c>
      <c r="H205" s="130">
        <f t="shared" si="144"/>
        <v>0</v>
      </c>
      <c r="I205" s="130">
        <f t="shared" si="144"/>
        <v>0</v>
      </c>
    </row>
    <row r="206" spans="1:9" x14ac:dyDescent="0.35">
      <c r="A206" s="137" t="str">
        <f t="shared" ref="A206:C206" si="145">A102</f>
        <v>Välisministeerium</v>
      </c>
      <c r="B206" s="137">
        <f t="shared" si="145"/>
        <v>52</v>
      </c>
      <c r="C206" s="137" t="str">
        <f t="shared" si="145"/>
        <v>Rahvusvahelise Eesti keskuse ehituse toetamine Torontos</v>
      </c>
      <c r="D206" s="130">
        <f t="shared" ref="D206:I206" si="146">ROUND(D102/1000,0)</f>
        <v>0</v>
      </c>
      <c r="E206" s="130">
        <f t="shared" si="146"/>
        <v>1372</v>
      </c>
      <c r="F206" s="130">
        <f t="shared" si="146"/>
        <v>0</v>
      </c>
      <c r="G206" s="130">
        <f t="shared" si="146"/>
        <v>1372</v>
      </c>
      <c r="H206" s="130">
        <f t="shared" si="146"/>
        <v>0</v>
      </c>
      <c r="I206" s="130">
        <f t="shared" si="146"/>
        <v>0</v>
      </c>
    </row>
    <row r="207" spans="1:9" x14ac:dyDescent="0.35">
      <c r="A207" s="137" t="str">
        <f t="shared" ref="A207:C207" si="147">A103</f>
        <v>Välisministeerium</v>
      </c>
      <c r="B207" s="137">
        <f t="shared" si="147"/>
        <v>53</v>
      </c>
      <c r="C207" s="137" t="str">
        <f t="shared" si="147"/>
        <v>Eesti kultuuripäevade korraldamise toetamine</v>
      </c>
      <c r="D207" s="130">
        <f t="shared" ref="D207:I207" si="148">ROUND(D103/1000,0)</f>
        <v>0</v>
      </c>
      <c r="E207" s="130">
        <f t="shared" si="148"/>
        <v>75</v>
      </c>
      <c r="F207" s="130">
        <f t="shared" si="148"/>
        <v>75</v>
      </c>
      <c r="G207" s="130">
        <f t="shared" si="148"/>
        <v>0</v>
      </c>
      <c r="H207" s="130">
        <f t="shared" si="148"/>
        <v>0</v>
      </c>
      <c r="I207" s="130">
        <f t="shared" si="148"/>
        <v>0</v>
      </c>
    </row>
    <row r="208" spans="1:9" x14ac:dyDescent="0.35">
      <c r="A208" s="137" t="str">
        <f t="shared" ref="A208:C208" si="149">A104</f>
        <v>Välisministeerium</v>
      </c>
      <c r="B208" s="137">
        <f t="shared" si="149"/>
        <v>61</v>
      </c>
      <c r="C208" s="137" t="str">
        <f t="shared" si="149"/>
        <v>Toetus Moldova Vabariigi tegevusteks</v>
      </c>
      <c r="D208" s="130">
        <f t="shared" ref="D208:I208" si="150">ROUND(D104/1000,0)</f>
        <v>0</v>
      </c>
      <c r="E208" s="130">
        <f t="shared" si="150"/>
        <v>748</v>
      </c>
      <c r="F208" s="130">
        <f t="shared" si="150"/>
        <v>526</v>
      </c>
      <c r="G208" s="130">
        <f t="shared" si="150"/>
        <v>222</v>
      </c>
      <c r="H208" s="130">
        <f t="shared" si="150"/>
        <v>0</v>
      </c>
      <c r="I208" s="130">
        <f t="shared" si="150"/>
        <v>0</v>
      </c>
    </row>
    <row r="209" spans="1:9" x14ac:dyDescent="0.35">
      <c r="A209" s="137" t="str">
        <f t="shared" ref="A209:C209" si="151">A105</f>
        <v>Kokku</v>
      </c>
      <c r="B209" s="137">
        <f t="shared" si="151"/>
        <v>0</v>
      </c>
      <c r="C209" s="137">
        <f t="shared" si="151"/>
        <v>0</v>
      </c>
      <c r="D209" s="130">
        <f t="shared" ref="D209:I209" si="152">ROUND(D105/1000,0)</f>
        <v>34053</v>
      </c>
      <c r="E209" s="130">
        <f t="shared" si="152"/>
        <v>161307</v>
      </c>
      <c r="F209" s="130">
        <f t="shared" si="152"/>
        <v>165892</v>
      </c>
      <c r="G209" s="130">
        <f t="shared" si="152"/>
        <v>29468</v>
      </c>
      <c r="H209" s="130">
        <f t="shared" si="152"/>
        <v>135</v>
      </c>
      <c r="I209" s="130">
        <f t="shared" si="152"/>
        <v>0</v>
      </c>
    </row>
    <row r="210" spans="1:9" x14ac:dyDescent="0.35">
      <c r="A210" s="137">
        <f t="shared" ref="A210:C210" si="153">A106</f>
        <v>0</v>
      </c>
      <c r="B210" s="137">
        <f t="shared" si="153"/>
        <v>0</v>
      </c>
      <c r="C210" s="137" t="str">
        <f t="shared" si="153"/>
        <v>peab olema</v>
      </c>
      <c r="D210" s="130">
        <f t="shared" ref="D210:I210" si="154">ROUND(D106/1000,0)</f>
        <v>34053</v>
      </c>
      <c r="E210" s="130">
        <f t="shared" si="154"/>
        <v>159194</v>
      </c>
      <c r="F210" s="130">
        <f t="shared" si="154"/>
        <v>0</v>
      </c>
      <c r="G210" s="130">
        <f t="shared" si="154"/>
        <v>0</v>
      </c>
      <c r="H210" s="130">
        <f t="shared" si="154"/>
        <v>0</v>
      </c>
      <c r="I210" s="130">
        <f t="shared" si="154"/>
        <v>0</v>
      </c>
    </row>
  </sheetData>
  <autoFilter ref="A3:O212" xr:uid="{2AD80710-4915-4365-B6C7-C335B206E1DC}"/>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F6B0D-8684-4A34-A53D-055C70AD36F0}">
  <dimension ref="A1:R36"/>
  <sheetViews>
    <sheetView workbookViewId="0">
      <selection activeCell="G8" sqref="G8"/>
    </sheetView>
  </sheetViews>
  <sheetFormatPr defaultRowHeight="14.5" x14ac:dyDescent="0.35"/>
  <cols>
    <col min="1" max="1" width="18.81640625" customWidth="1"/>
    <col min="4" max="4" width="26" customWidth="1"/>
    <col min="5" max="5" width="16.81640625" customWidth="1"/>
    <col min="6" max="6" width="16.7265625" customWidth="1"/>
    <col min="7" max="7" width="19.7265625" customWidth="1"/>
    <col min="8" max="8" width="17" customWidth="1"/>
    <col min="9" max="9" width="14.54296875" customWidth="1"/>
    <col min="10" max="10" width="15.54296875" customWidth="1"/>
    <col min="11" max="11" width="12.1796875" bestFit="1" customWidth="1"/>
    <col min="13" max="13" width="17.26953125" customWidth="1"/>
    <col min="14" max="14" width="16" customWidth="1"/>
    <col min="15" max="16" width="17.1796875" customWidth="1"/>
    <col min="18" max="18" width="12.81640625" bestFit="1" customWidth="1"/>
  </cols>
  <sheetData>
    <row r="1" spans="1:18" x14ac:dyDescent="0.35">
      <c r="A1" s="51" t="s">
        <v>1137</v>
      </c>
      <c r="E1" s="26"/>
      <c r="F1" s="26"/>
      <c r="G1" s="26"/>
      <c r="H1" s="26"/>
      <c r="I1" s="26"/>
      <c r="J1" s="26"/>
      <c r="M1" s="64" t="s">
        <v>142</v>
      </c>
      <c r="N1" s="52"/>
      <c r="O1" s="52" t="s">
        <v>893</v>
      </c>
      <c r="P1" s="52"/>
    </row>
    <row r="2" spans="1:18" x14ac:dyDescent="0.35">
      <c r="E2" s="26">
        <f t="shared" ref="E2:J2" si="0">SUBTOTAL(9,E4:E16)</f>
        <v>2597621.46</v>
      </c>
      <c r="F2" s="26">
        <f t="shared" si="0"/>
        <v>13170250</v>
      </c>
      <c r="G2" s="26">
        <f t="shared" si="0"/>
        <v>14021703.859999999</v>
      </c>
      <c r="H2" s="26">
        <f t="shared" si="0"/>
        <v>1746167.5999999999</v>
      </c>
      <c r="I2" s="26">
        <f t="shared" si="0"/>
        <v>0</v>
      </c>
      <c r="J2" s="26">
        <f t="shared" si="0"/>
        <v>0</v>
      </c>
      <c r="N2" s="26"/>
      <c r="O2" s="26"/>
      <c r="P2" s="26"/>
    </row>
    <row r="3" spans="1:18" x14ac:dyDescent="0.35">
      <c r="A3" s="3" t="s">
        <v>75</v>
      </c>
      <c r="B3" s="3" t="s">
        <v>143</v>
      </c>
      <c r="C3" s="3"/>
      <c r="D3" s="3" t="s">
        <v>115</v>
      </c>
      <c r="E3" s="53" t="s">
        <v>96</v>
      </c>
      <c r="F3" s="53" t="s">
        <v>926</v>
      </c>
      <c r="G3" s="53" t="s">
        <v>116</v>
      </c>
      <c r="H3" s="53" t="s">
        <v>117</v>
      </c>
      <c r="I3" s="53" t="s">
        <v>144</v>
      </c>
      <c r="J3" s="53" t="s">
        <v>925</v>
      </c>
      <c r="M3" t="s">
        <v>145</v>
      </c>
      <c r="N3" s="26">
        <v>14289903</v>
      </c>
      <c r="O3" s="26">
        <v>14289903</v>
      </c>
      <c r="P3" s="26"/>
    </row>
    <row r="4" spans="1:18" x14ac:dyDescent="0.35">
      <c r="A4" s="3" t="s">
        <v>849</v>
      </c>
      <c r="B4" s="3">
        <v>96</v>
      </c>
      <c r="C4" s="3"/>
      <c r="D4" s="199" t="s">
        <v>1138</v>
      </c>
      <c r="E4" s="53">
        <v>0</v>
      </c>
      <c r="F4" s="53">
        <v>156420</v>
      </c>
      <c r="G4" s="53">
        <f>141528.02+13350</f>
        <v>154878.01999999999</v>
      </c>
      <c r="H4" s="53">
        <f t="shared" ref="H4:H11" si="1">E4+F4-G4</f>
        <v>1541.9800000000105</v>
      </c>
      <c r="I4" s="53"/>
      <c r="J4" s="53"/>
      <c r="K4" s="26"/>
      <c r="M4" t="s">
        <v>146</v>
      </c>
      <c r="N4" s="26">
        <v>53278625</v>
      </c>
      <c r="O4" s="26">
        <v>53278625</v>
      </c>
      <c r="P4" s="26"/>
    </row>
    <row r="5" spans="1:18" x14ac:dyDescent="0.35">
      <c r="A5" s="3" t="s">
        <v>87</v>
      </c>
      <c r="B5" s="3">
        <v>135</v>
      </c>
      <c r="C5" s="3"/>
      <c r="D5" s="3" t="s">
        <v>1139</v>
      </c>
      <c r="E5" s="53">
        <v>0</v>
      </c>
      <c r="F5" s="53">
        <v>127669</v>
      </c>
      <c r="G5" s="53">
        <v>127669</v>
      </c>
      <c r="H5" s="53">
        <f t="shared" ref="H5:H6" si="2">E5+F5-G5</f>
        <v>0</v>
      </c>
      <c r="I5" s="53">
        <v>0</v>
      </c>
      <c r="J5" s="53">
        <v>0</v>
      </c>
      <c r="K5" s="26"/>
      <c r="M5" t="s">
        <v>147</v>
      </c>
      <c r="N5" s="26">
        <v>-52002680</v>
      </c>
      <c r="O5" s="26">
        <v>-52002680</v>
      </c>
      <c r="P5" s="26"/>
    </row>
    <row r="6" spans="1:18" x14ac:dyDescent="0.35">
      <c r="A6" s="3" t="s">
        <v>878</v>
      </c>
      <c r="B6" s="3">
        <v>218</v>
      </c>
      <c r="C6" s="3"/>
      <c r="D6" s="3" t="s">
        <v>1151</v>
      </c>
      <c r="E6" s="53">
        <v>0</v>
      </c>
      <c r="F6" s="53">
        <v>550000</v>
      </c>
      <c r="G6" s="53">
        <v>550000</v>
      </c>
      <c r="H6" s="53">
        <f t="shared" si="2"/>
        <v>0</v>
      </c>
      <c r="I6" s="53">
        <v>0</v>
      </c>
      <c r="J6" s="53">
        <v>0</v>
      </c>
      <c r="K6" s="26"/>
      <c r="M6" t="s">
        <v>910</v>
      </c>
      <c r="N6" s="26"/>
      <c r="O6" s="26"/>
    </row>
    <row r="7" spans="1:18" x14ac:dyDescent="0.35">
      <c r="A7" s="3" t="s">
        <v>89</v>
      </c>
      <c r="B7" s="3">
        <v>21</v>
      </c>
      <c r="C7" s="3"/>
      <c r="D7" s="3" t="s">
        <v>978</v>
      </c>
      <c r="E7" s="53">
        <v>820750</v>
      </c>
      <c r="F7" s="53">
        <v>0</v>
      </c>
      <c r="G7" s="53">
        <v>729921.52</v>
      </c>
      <c r="H7" s="53">
        <f t="shared" si="1"/>
        <v>90828.479999999981</v>
      </c>
      <c r="I7" s="53"/>
      <c r="J7" s="53"/>
      <c r="K7" s="248" t="s">
        <v>1084</v>
      </c>
      <c r="M7" s="26" t="s">
        <v>944</v>
      </c>
      <c r="N7" s="26"/>
      <c r="O7" s="26"/>
      <c r="P7" s="26"/>
    </row>
    <row r="8" spans="1:18" x14ac:dyDescent="0.35">
      <c r="A8" s="3" t="s">
        <v>879</v>
      </c>
      <c r="B8" s="3">
        <v>77</v>
      </c>
      <c r="C8" s="3"/>
      <c r="D8" s="232" t="s">
        <v>979</v>
      </c>
      <c r="E8" s="53">
        <v>65022.31</v>
      </c>
      <c r="F8" s="53">
        <v>0</v>
      </c>
      <c r="G8" s="53">
        <v>65022.31</v>
      </c>
      <c r="H8" s="53">
        <f t="shared" si="1"/>
        <v>0</v>
      </c>
      <c r="I8" s="53">
        <v>0</v>
      </c>
      <c r="J8" s="53">
        <v>0</v>
      </c>
      <c r="K8" s="26"/>
      <c r="N8" s="26"/>
      <c r="O8" s="26"/>
      <c r="P8" s="26"/>
    </row>
    <row r="9" spans="1:18" x14ac:dyDescent="0.35">
      <c r="A9" s="3" t="s">
        <v>879</v>
      </c>
      <c r="B9" s="3">
        <v>171</v>
      </c>
      <c r="C9" s="3"/>
      <c r="D9" s="232" t="s">
        <v>980</v>
      </c>
      <c r="E9" s="53">
        <v>1711849.15</v>
      </c>
      <c r="F9" s="53">
        <v>0</v>
      </c>
      <c r="G9" s="53">
        <v>1711849.15</v>
      </c>
      <c r="H9" s="53">
        <f t="shared" si="1"/>
        <v>0</v>
      </c>
      <c r="I9" s="53">
        <v>0</v>
      </c>
      <c r="J9" s="53">
        <v>0</v>
      </c>
      <c r="K9" s="26"/>
      <c r="M9" s="51" t="s">
        <v>148</v>
      </c>
      <c r="N9" s="52">
        <f>SUM(N3:N8)</f>
        <v>15565848</v>
      </c>
      <c r="O9" s="26">
        <f>SUM(O3:O8)</f>
        <v>15565848</v>
      </c>
      <c r="P9" s="26"/>
    </row>
    <row r="10" spans="1:18" x14ac:dyDescent="0.35">
      <c r="A10" s="3" t="s">
        <v>879</v>
      </c>
      <c r="B10" s="3">
        <v>186</v>
      </c>
      <c r="C10" s="3"/>
      <c r="D10" s="232" t="s">
        <v>1140</v>
      </c>
      <c r="E10" s="53">
        <v>0</v>
      </c>
      <c r="F10" s="53">
        <v>309516</v>
      </c>
      <c r="G10" s="53">
        <v>309516</v>
      </c>
      <c r="H10" s="53">
        <f t="shared" si="1"/>
        <v>0</v>
      </c>
      <c r="I10" s="53">
        <v>0</v>
      </c>
      <c r="J10" s="53">
        <v>0</v>
      </c>
      <c r="K10" s="26"/>
      <c r="N10" s="26"/>
      <c r="O10" s="26"/>
      <c r="P10" s="26"/>
    </row>
    <row r="11" spans="1:18" x14ac:dyDescent="0.35">
      <c r="A11" s="3" t="s">
        <v>879</v>
      </c>
      <c r="B11" s="3">
        <v>203</v>
      </c>
      <c r="C11" s="3"/>
      <c r="D11" s="232" t="s">
        <v>1140</v>
      </c>
      <c r="E11" s="53">
        <v>0</v>
      </c>
      <c r="F11" s="53">
        <v>2184500</v>
      </c>
      <c r="G11" s="53">
        <v>2184500</v>
      </c>
      <c r="H11" s="53">
        <f t="shared" si="1"/>
        <v>0</v>
      </c>
      <c r="I11" s="53">
        <v>0</v>
      </c>
      <c r="J11" s="53">
        <v>0</v>
      </c>
      <c r="K11" s="248"/>
      <c r="N11" s="26"/>
      <c r="O11" s="26"/>
      <c r="P11" s="26"/>
    </row>
    <row r="12" spans="1:18" x14ac:dyDescent="0.35">
      <c r="A12" s="3" t="s">
        <v>879</v>
      </c>
      <c r="B12" s="3">
        <v>217</v>
      </c>
      <c r="C12" s="3"/>
      <c r="D12" s="232" t="s">
        <v>1140</v>
      </c>
      <c r="E12" s="53">
        <v>0</v>
      </c>
      <c r="F12" s="53">
        <v>1820472</v>
      </c>
      <c r="G12" s="53">
        <v>1820472</v>
      </c>
      <c r="H12" s="53">
        <f t="shared" ref="H12:H16" si="3">E12+F12-G12</f>
        <v>0</v>
      </c>
      <c r="I12" s="53">
        <v>0</v>
      </c>
      <c r="J12" s="53">
        <v>0</v>
      </c>
      <c r="K12" s="26"/>
      <c r="N12" s="26"/>
      <c r="O12" s="26"/>
      <c r="P12" s="26"/>
    </row>
    <row r="13" spans="1:18" x14ac:dyDescent="0.35">
      <c r="A13" s="3" t="s">
        <v>879</v>
      </c>
      <c r="B13" s="3">
        <v>239</v>
      </c>
      <c r="C13" s="3"/>
      <c r="D13" s="232" t="s">
        <v>1140</v>
      </c>
      <c r="E13" s="53">
        <v>0</v>
      </c>
      <c r="F13" s="53">
        <v>6000000</v>
      </c>
      <c r="G13" s="53">
        <v>4442608.25</v>
      </c>
      <c r="H13" s="53">
        <f t="shared" si="3"/>
        <v>1557391.75</v>
      </c>
      <c r="I13" s="53"/>
      <c r="J13" s="53"/>
      <c r="K13" s="26"/>
      <c r="M13" t="s">
        <v>149</v>
      </c>
      <c r="N13" s="26">
        <v>2612621.27</v>
      </c>
      <c r="O13" s="26"/>
      <c r="P13" s="26"/>
    </row>
    <row r="14" spans="1:18" x14ac:dyDescent="0.35">
      <c r="A14" s="3" t="s">
        <v>879</v>
      </c>
      <c r="B14" s="3">
        <v>240</v>
      </c>
      <c r="C14" s="3"/>
      <c r="D14" s="232" t="s">
        <v>1140</v>
      </c>
      <c r="E14" s="53">
        <v>0</v>
      </c>
      <c r="F14" s="53">
        <v>1232826</v>
      </c>
      <c r="G14" s="53">
        <v>1136420.6100000001</v>
      </c>
      <c r="H14" s="53">
        <f t="shared" si="3"/>
        <v>96405.389999999898</v>
      </c>
      <c r="I14" s="53"/>
      <c r="J14" s="53"/>
      <c r="K14" s="26"/>
      <c r="M14" t="s">
        <v>150</v>
      </c>
      <c r="N14" s="26">
        <f>F2</f>
        <v>13170250</v>
      </c>
      <c r="O14" s="26">
        <v>13170250</v>
      </c>
      <c r="P14" s="26"/>
      <c r="R14" s="148"/>
    </row>
    <row r="15" spans="1:18" x14ac:dyDescent="0.35">
      <c r="A15" s="3" t="s">
        <v>90</v>
      </c>
      <c r="B15" s="3">
        <v>201</v>
      </c>
      <c r="C15" s="3"/>
      <c r="D15" s="247" t="s">
        <v>1141</v>
      </c>
      <c r="E15" s="53">
        <v>0</v>
      </c>
      <c r="F15" s="53">
        <v>270000</v>
      </c>
      <c r="G15" s="53">
        <v>270000</v>
      </c>
      <c r="H15" s="53">
        <f t="shared" si="3"/>
        <v>0</v>
      </c>
      <c r="I15" s="53">
        <v>0</v>
      </c>
      <c r="J15" s="53">
        <v>0</v>
      </c>
      <c r="K15" s="26"/>
      <c r="M15" s="51" t="s">
        <v>911</v>
      </c>
      <c r="N15" s="52">
        <f>N9-N14</f>
        <v>2395598</v>
      </c>
      <c r="O15" s="26"/>
      <c r="P15" s="26"/>
    </row>
    <row r="16" spans="1:18" x14ac:dyDescent="0.35">
      <c r="A16" s="3" t="s">
        <v>91</v>
      </c>
      <c r="B16" s="3">
        <v>135</v>
      </c>
      <c r="C16" s="3"/>
      <c r="D16" s="3" t="s">
        <v>1139</v>
      </c>
      <c r="E16" s="53">
        <v>0</v>
      </c>
      <c r="F16" s="53">
        <v>518847</v>
      </c>
      <c r="G16" s="53">
        <v>518847</v>
      </c>
      <c r="H16" s="53">
        <f t="shared" si="3"/>
        <v>0</v>
      </c>
      <c r="I16" s="53">
        <v>0</v>
      </c>
      <c r="J16" s="53">
        <v>0</v>
      </c>
      <c r="K16" s="26"/>
      <c r="N16" s="26"/>
      <c r="O16" s="26"/>
      <c r="P16" s="26"/>
    </row>
    <row r="17" spans="1:16" x14ac:dyDescent="0.35">
      <c r="A17" s="58" t="s">
        <v>79</v>
      </c>
      <c r="B17" s="58"/>
      <c r="C17" s="58"/>
      <c r="D17" s="58"/>
      <c r="E17" s="59">
        <f t="shared" ref="E17:J17" si="4">SUM(E4:E16)</f>
        <v>2597621.46</v>
      </c>
      <c r="F17" s="59">
        <f t="shared" si="4"/>
        <v>13170250</v>
      </c>
      <c r="G17" s="59">
        <f t="shared" si="4"/>
        <v>14021703.859999999</v>
      </c>
      <c r="H17" s="59">
        <f t="shared" si="4"/>
        <v>1746167.5999999999</v>
      </c>
      <c r="I17" s="59">
        <f t="shared" si="4"/>
        <v>0</v>
      </c>
      <c r="J17" s="59">
        <f t="shared" si="4"/>
        <v>0</v>
      </c>
      <c r="M17" t="s">
        <v>116</v>
      </c>
      <c r="N17" s="26">
        <f>-G17-P17</f>
        <v>-14021703.859999999</v>
      </c>
      <c r="O17" s="26"/>
      <c r="P17" s="26"/>
    </row>
    <row r="18" spans="1:16" x14ac:dyDescent="0.35">
      <c r="D18" s="60" t="s">
        <v>872</v>
      </c>
      <c r="E18" s="26">
        <v>2612621.27</v>
      </c>
      <c r="F18" s="26"/>
      <c r="G18" s="26"/>
      <c r="H18" s="26"/>
      <c r="I18" s="26"/>
      <c r="J18" s="26"/>
      <c r="M18" s="51" t="s">
        <v>151</v>
      </c>
      <c r="N18" s="52">
        <f>N13+N14+N17</f>
        <v>1761167.4100000001</v>
      </c>
      <c r="O18" s="26"/>
      <c r="P18" s="52"/>
    </row>
    <row r="19" spans="1:16" x14ac:dyDescent="0.35">
      <c r="D19" t="s">
        <v>16</v>
      </c>
      <c r="E19" s="26">
        <f>E17-E18</f>
        <v>-14999.810000000056</v>
      </c>
      <c r="F19" s="26"/>
      <c r="G19" s="26"/>
      <c r="H19" s="26"/>
      <c r="I19" s="26"/>
      <c r="J19" s="26"/>
      <c r="M19" t="s">
        <v>118</v>
      </c>
      <c r="N19" s="26">
        <f>I17</f>
        <v>0</v>
      </c>
      <c r="O19" s="26"/>
      <c r="P19" s="26"/>
    </row>
    <row r="20" spans="1:16" x14ac:dyDescent="0.35">
      <c r="A20" s="62" t="s">
        <v>75</v>
      </c>
      <c r="B20" s="62" t="s">
        <v>143</v>
      </c>
      <c r="C20" s="189"/>
      <c r="D20" s="62" t="s">
        <v>115</v>
      </c>
      <c r="E20" s="67" t="s">
        <v>96</v>
      </c>
      <c r="F20" s="67" t="s">
        <v>926</v>
      </c>
      <c r="G20" s="67" t="s">
        <v>116</v>
      </c>
      <c r="H20" s="67" t="s">
        <v>117</v>
      </c>
      <c r="I20" s="67" t="s">
        <v>144</v>
      </c>
      <c r="J20" s="67" t="s">
        <v>925</v>
      </c>
      <c r="M20" t="s">
        <v>152</v>
      </c>
      <c r="N20" s="26">
        <f>J17</f>
        <v>0</v>
      </c>
      <c r="O20" s="26">
        <f>N20+SR!L23</f>
        <v>0</v>
      </c>
      <c r="P20" s="26"/>
    </row>
    <row r="21" spans="1:16" x14ac:dyDescent="0.35">
      <c r="A21" s="137" t="str">
        <f t="shared" ref="A21:D27" si="5">A4</f>
        <v>Presidendi Kantselei</v>
      </c>
      <c r="B21" s="137">
        <f t="shared" si="5"/>
        <v>96</v>
      </c>
      <c r="C21" s="137">
        <f t="shared" si="5"/>
        <v>0</v>
      </c>
      <c r="D21" s="137" t="str">
        <f t="shared" si="5"/>
        <v>President Rüütli matuste korraldamine</v>
      </c>
      <c r="E21" s="130">
        <f t="shared" ref="E21:J27" si="6">ROUND(E4/1000,0)</f>
        <v>0</v>
      </c>
      <c r="F21" s="130">
        <f t="shared" si="6"/>
        <v>156</v>
      </c>
      <c r="G21" s="130">
        <f t="shared" si="6"/>
        <v>155</v>
      </c>
      <c r="H21" s="130">
        <f t="shared" si="6"/>
        <v>2</v>
      </c>
      <c r="I21" s="130">
        <f t="shared" si="6"/>
        <v>0</v>
      </c>
      <c r="J21" s="130">
        <f t="shared" si="6"/>
        <v>0</v>
      </c>
      <c r="N21" s="26"/>
      <c r="O21" s="26"/>
      <c r="P21" s="26"/>
    </row>
    <row r="22" spans="1:16" x14ac:dyDescent="0.35">
      <c r="A22" s="137" t="str">
        <f t="shared" si="5"/>
        <v>Kaitseministeerium</v>
      </c>
      <c r="B22" s="137">
        <f t="shared" si="5"/>
        <v>135</v>
      </c>
      <c r="C22" s="137">
        <f t="shared" si="5"/>
        <v>0</v>
      </c>
      <c r="D22" s="137" t="str">
        <f t="shared" si="5"/>
        <v>Turvalisuse tagamine Balti riikide elektrisüsteemi desünkroniseerimisel Venemaa ja Valgevene ühendussüsteemist ning sünkroniseerimisel Mandri-Euroopa elektrivõrguga</v>
      </c>
      <c r="E22" s="130">
        <f t="shared" si="6"/>
        <v>0</v>
      </c>
      <c r="F22" s="130">
        <f t="shared" si="6"/>
        <v>128</v>
      </c>
      <c r="G22" s="130">
        <f t="shared" si="6"/>
        <v>128</v>
      </c>
      <c r="H22" s="130">
        <f t="shared" si="6"/>
        <v>0</v>
      </c>
      <c r="I22" s="130">
        <f t="shared" si="6"/>
        <v>0</v>
      </c>
      <c r="J22" s="130">
        <f t="shared" si="6"/>
        <v>0</v>
      </c>
      <c r="M22" s="51" t="s">
        <v>153</v>
      </c>
      <c r="N22" s="52">
        <f>N9-N14+N20</f>
        <v>2395598</v>
      </c>
      <c r="O22" s="26">
        <v>2395598</v>
      </c>
      <c r="P22" s="52"/>
    </row>
    <row r="23" spans="1:16" x14ac:dyDescent="0.35">
      <c r="A23" s="137" t="str">
        <f t="shared" si="5"/>
        <v>Kliimaministeerium</v>
      </c>
      <c r="B23" s="137">
        <f t="shared" si="5"/>
        <v>218</v>
      </c>
      <c r="C23" s="137">
        <f t="shared" si="5"/>
        <v>0</v>
      </c>
      <c r="D23" s="137" t="str">
        <f t="shared" si="5"/>
        <v>Mootorsõidukimaksu seaduse muudatuste rakendamine</v>
      </c>
      <c r="E23" s="130">
        <f t="shared" si="6"/>
        <v>0</v>
      </c>
      <c r="F23" s="130">
        <f t="shared" si="6"/>
        <v>550</v>
      </c>
      <c r="G23" s="130">
        <f t="shared" si="6"/>
        <v>550</v>
      </c>
      <c r="H23" s="130">
        <f t="shared" si="6"/>
        <v>0</v>
      </c>
      <c r="I23" s="130">
        <f t="shared" si="6"/>
        <v>0</v>
      </c>
      <c r="J23" s="130">
        <f t="shared" si="6"/>
        <v>0</v>
      </c>
      <c r="N23" s="26"/>
      <c r="O23" s="26"/>
      <c r="P23" s="26"/>
    </row>
    <row r="24" spans="1:16" x14ac:dyDescent="0.35">
      <c r="A24" s="137" t="str">
        <f t="shared" si="5"/>
        <v>Majandus- ja Kommunikatsiooniministeerium</v>
      </c>
      <c r="B24" s="137">
        <f t="shared" si="5"/>
        <v>21</v>
      </c>
      <c r="C24" s="137">
        <f t="shared" si="5"/>
        <v>0</v>
      </c>
      <c r="D24" s="137" t="str">
        <f t="shared" si="5"/>
        <v>Reisiparvlaev Estonia õnnetuse uute asjaolude hindamine</v>
      </c>
      <c r="E24" s="130">
        <f t="shared" si="6"/>
        <v>821</v>
      </c>
      <c r="F24" s="130">
        <f t="shared" si="6"/>
        <v>0</v>
      </c>
      <c r="G24" s="130">
        <f t="shared" si="6"/>
        <v>730</v>
      </c>
      <c r="H24" s="130">
        <f t="shared" si="6"/>
        <v>91</v>
      </c>
      <c r="I24" s="130">
        <f t="shared" si="6"/>
        <v>0</v>
      </c>
      <c r="J24" s="130">
        <f t="shared" si="6"/>
        <v>0</v>
      </c>
      <c r="M24" s="26" t="s">
        <v>1016</v>
      </c>
      <c r="N24" s="52">
        <v>52878625</v>
      </c>
      <c r="O24" s="26"/>
      <c r="P24" s="26"/>
    </row>
    <row r="25" spans="1:16" x14ac:dyDescent="0.35">
      <c r="A25" s="137" t="str">
        <f t="shared" si="5"/>
        <v>Regionaal- ja Põllumajandusministeerium</v>
      </c>
      <c r="B25" s="137">
        <f t="shared" si="5"/>
        <v>77</v>
      </c>
      <c r="C25" s="137">
        <f t="shared" si="5"/>
        <v>0</v>
      </c>
      <c r="D25" s="137" t="str">
        <f t="shared" si="5"/>
        <v>Sigade Aafrika katku tõrjeabinõude ja taudikollete likvideerimine</v>
      </c>
      <c r="E25" s="130">
        <f t="shared" si="6"/>
        <v>65</v>
      </c>
      <c r="F25" s="130">
        <f t="shared" si="6"/>
        <v>0</v>
      </c>
      <c r="G25" s="130">
        <f t="shared" si="6"/>
        <v>65</v>
      </c>
      <c r="H25" s="130">
        <f t="shared" si="6"/>
        <v>0</v>
      </c>
      <c r="I25" s="130">
        <f t="shared" si="6"/>
        <v>0</v>
      </c>
      <c r="J25" s="130">
        <f t="shared" si="6"/>
        <v>0</v>
      </c>
      <c r="N25" s="26"/>
      <c r="O25" s="26"/>
      <c r="P25" s="26"/>
    </row>
    <row r="26" spans="1:16" x14ac:dyDescent="0.35">
      <c r="A26" s="137" t="str">
        <f t="shared" si="5"/>
        <v>Regionaal- ja Põllumajandusministeerium</v>
      </c>
      <c r="B26" s="137">
        <f t="shared" si="5"/>
        <v>171</v>
      </c>
      <c r="C26" s="137">
        <f t="shared" si="5"/>
        <v>0</v>
      </c>
      <c r="D26" s="137" t="str">
        <f t="shared" si="5"/>
        <v>Ühistranspordi arendamine ja soodustamine</v>
      </c>
      <c r="E26" s="130">
        <f t="shared" si="6"/>
        <v>1712</v>
      </c>
      <c r="F26" s="130">
        <f t="shared" si="6"/>
        <v>0</v>
      </c>
      <c r="G26" s="130">
        <f t="shared" si="6"/>
        <v>1712</v>
      </c>
      <c r="H26" s="130">
        <f t="shared" si="6"/>
        <v>0</v>
      </c>
      <c r="I26" s="130">
        <f t="shared" si="6"/>
        <v>0</v>
      </c>
      <c r="J26" s="130">
        <f t="shared" si="6"/>
        <v>0</v>
      </c>
      <c r="N26" s="26"/>
      <c r="O26" s="26"/>
      <c r="P26" s="26"/>
    </row>
    <row r="27" spans="1:16" x14ac:dyDescent="0.35">
      <c r="A27" s="137" t="str">
        <f t="shared" si="5"/>
        <v>Regionaal- ja Põllumajandusministeerium</v>
      </c>
      <c r="B27" s="137">
        <f t="shared" si="5"/>
        <v>186</v>
      </c>
      <c r="C27" s="137">
        <f t="shared" si="5"/>
        <v>0</v>
      </c>
      <c r="D27" s="137" t="str">
        <f t="shared" si="5"/>
        <v>Sigade Aafrika katku tõrjeabinõud ja taudikollete likvideerimine</v>
      </c>
      <c r="E27" s="130">
        <f t="shared" si="6"/>
        <v>0</v>
      </c>
      <c r="F27" s="130">
        <f t="shared" si="6"/>
        <v>310</v>
      </c>
      <c r="G27" s="130">
        <f t="shared" si="6"/>
        <v>310</v>
      </c>
      <c r="H27" s="130">
        <f t="shared" si="6"/>
        <v>0</v>
      </c>
      <c r="I27" s="130">
        <f t="shared" si="6"/>
        <v>0</v>
      </c>
      <c r="J27" s="130">
        <f t="shared" si="6"/>
        <v>0</v>
      </c>
      <c r="N27" s="26"/>
      <c r="O27" s="26"/>
      <c r="P27" s="26"/>
    </row>
    <row r="28" spans="1:16" x14ac:dyDescent="0.35">
      <c r="A28" s="137" t="str">
        <f t="shared" ref="A28:D28" si="7">A11</f>
        <v>Regionaal- ja Põllumajandusministeerium</v>
      </c>
      <c r="B28" s="137">
        <f t="shared" si="7"/>
        <v>203</v>
      </c>
      <c r="C28" s="137">
        <f t="shared" si="7"/>
        <v>0</v>
      </c>
      <c r="D28" s="137" t="str">
        <f t="shared" si="7"/>
        <v>Sigade Aafrika katku tõrjeabinõud ja taudikollete likvideerimine</v>
      </c>
      <c r="E28" s="130">
        <f t="shared" ref="E28:J28" si="8">ROUND(E11/1000,0)</f>
        <v>0</v>
      </c>
      <c r="F28" s="130">
        <f t="shared" si="8"/>
        <v>2185</v>
      </c>
      <c r="G28" s="130">
        <f t="shared" si="8"/>
        <v>2185</v>
      </c>
      <c r="H28" s="130">
        <f t="shared" si="8"/>
        <v>0</v>
      </c>
      <c r="I28" s="130">
        <f t="shared" si="8"/>
        <v>0</v>
      </c>
      <c r="J28" s="130">
        <f t="shared" si="8"/>
        <v>0</v>
      </c>
      <c r="N28" s="26"/>
      <c r="O28" s="26"/>
      <c r="P28" s="26"/>
    </row>
    <row r="29" spans="1:16" x14ac:dyDescent="0.35">
      <c r="A29" s="137" t="str">
        <f t="shared" ref="A29:D29" si="9">A12</f>
        <v>Regionaal- ja Põllumajandusministeerium</v>
      </c>
      <c r="B29" s="137">
        <f t="shared" si="9"/>
        <v>217</v>
      </c>
      <c r="C29" s="137">
        <f t="shared" si="9"/>
        <v>0</v>
      </c>
      <c r="D29" s="137" t="str">
        <f t="shared" si="9"/>
        <v>Sigade Aafrika katku tõrjeabinõud ja taudikollete likvideerimine</v>
      </c>
      <c r="E29" s="130">
        <f t="shared" ref="E29:J29" si="10">ROUND(E12/1000,0)</f>
        <v>0</v>
      </c>
      <c r="F29" s="130">
        <f t="shared" si="10"/>
        <v>1820</v>
      </c>
      <c r="G29" s="130">
        <f t="shared" si="10"/>
        <v>1820</v>
      </c>
      <c r="H29" s="130">
        <f t="shared" si="10"/>
        <v>0</v>
      </c>
      <c r="I29" s="130">
        <f t="shared" si="10"/>
        <v>0</v>
      </c>
      <c r="J29" s="130">
        <f t="shared" si="10"/>
        <v>0</v>
      </c>
      <c r="N29" s="26"/>
      <c r="O29" s="26"/>
      <c r="P29" s="26"/>
    </row>
    <row r="30" spans="1:16" x14ac:dyDescent="0.35">
      <c r="A30" s="137" t="str">
        <f t="shared" ref="A30:D30" si="11">A13</f>
        <v>Regionaal- ja Põllumajandusministeerium</v>
      </c>
      <c r="B30" s="137">
        <f t="shared" si="11"/>
        <v>239</v>
      </c>
      <c r="C30" s="137">
        <f t="shared" si="11"/>
        <v>0</v>
      </c>
      <c r="D30" s="137" t="str">
        <f t="shared" si="11"/>
        <v>Sigade Aafrika katku tõrjeabinõud ja taudikollete likvideerimine</v>
      </c>
      <c r="E30" s="130">
        <f t="shared" ref="E30:J30" si="12">ROUND(E13/1000,0)</f>
        <v>0</v>
      </c>
      <c r="F30" s="130">
        <f t="shared" si="12"/>
        <v>6000</v>
      </c>
      <c r="G30" s="130">
        <f t="shared" si="12"/>
        <v>4443</v>
      </c>
      <c r="H30" s="130">
        <f t="shared" si="12"/>
        <v>1557</v>
      </c>
      <c r="I30" s="130">
        <f t="shared" si="12"/>
        <v>0</v>
      </c>
      <c r="J30" s="130">
        <f t="shared" si="12"/>
        <v>0</v>
      </c>
      <c r="N30" s="26"/>
      <c r="O30" s="26"/>
      <c r="P30" s="26"/>
    </row>
    <row r="31" spans="1:16" x14ac:dyDescent="0.35">
      <c r="A31" s="137" t="str">
        <f t="shared" ref="A31:D31" si="13">A14</f>
        <v>Regionaal- ja Põllumajandusministeerium</v>
      </c>
      <c r="B31" s="137">
        <f t="shared" si="13"/>
        <v>240</v>
      </c>
      <c r="C31" s="137">
        <f t="shared" si="13"/>
        <v>0</v>
      </c>
      <c r="D31" s="137" t="str">
        <f t="shared" si="13"/>
        <v>Sigade Aafrika katku tõrjeabinõud ja taudikollete likvideerimine</v>
      </c>
      <c r="E31" s="130">
        <f t="shared" ref="E31:J31" si="14">ROUND(E14/1000,0)</f>
        <v>0</v>
      </c>
      <c r="F31" s="130">
        <f t="shared" si="14"/>
        <v>1233</v>
      </c>
      <c r="G31" s="130">
        <f t="shared" si="14"/>
        <v>1136</v>
      </c>
      <c r="H31" s="130">
        <f t="shared" si="14"/>
        <v>96</v>
      </c>
      <c r="I31" s="130">
        <f t="shared" si="14"/>
        <v>0</v>
      </c>
      <c r="J31" s="130">
        <f t="shared" si="14"/>
        <v>0</v>
      </c>
      <c r="N31" s="26"/>
      <c r="O31" s="26"/>
      <c r="P31" s="26"/>
    </row>
    <row r="32" spans="1:16" x14ac:dyDescent="0.35">
      <c r="A32" s="137" t="str">
        <f t="shared" ref="A32:D32" si="15">A15</f>
        <v>Rahandusministeerium</v>
      </c>
      <c r="B32" s="137">
        <f t="shared" si="15"/>
        <v>201</v>
      </c>
      <c r="C32" s="137">
        <f t="shared" si="15"/>
        <v>0</v>
      </c>
      <c r="D32" s="137" t="str">
        <f t="shared" si="15"/>
        <v>IT-arendused laste eest mootorsõidukimaksu kohustuse vähendamise tõttu</v>
      </c>
      <c r="E32" s="130">
        <f t="shared" ref="E32:J32" si="16">ROUND(E15/1000,0)</f>
        <v>0</v>
      </c>
      <c r="F32" s="130">
        <f t="shared" si="16"/>
        <v>270</v>
      </c>
      <c r="G32" s="130">
        <f t="shared" si="16"/>
        <v>270</v>
      </c>
      <c r="H32" s="130">
        <f t="shared" si="16"/>
        <v>0</v>
      </c>
      <c r="I32" s="130">
        <f t="shared" si="16"/>
        <v>0</v>
      </c>
      <c r="J32" s="130">
        <f t="shared" si="16"/>
        <v>0</v>
      </c>
      <c r="L32" s="26"/>
      <c r="N32" s="26"/>
      <c r="O32" s="26"/>
      <c r="P32" s="26"/>
    </row>
    <row r="33" spans="1:16" x14ac:dyDescent="0.35">
      <c r="A33" s="137" t="str">
        <f t="shared" ref="A33:D33" si="17">A16</f>
        <v>Siseministeerium</v>
      </c>
      <c r="B33" s="137">
        <f t="shared" si="17"/>
        <v>135</v>
      </c>
      <c r="C33" s="137">
        <f t="shared" si="17"/>
        <v>0</v>
      </c>
      <c r="D33" s="137" t="str">
        <f t="shared" si="17"/>
        <v>Turvalisuse tagamine Balti riikide elektrisüsteemi desünkroniseerimisel Venemaa ja Valgevene ühendussüsteemist ning sünkroniseerimisel Mandri-Euroopa elektrivõrguga</v>
      </c>
      <c r="E33" s="130">
        <f t="shared" ref="E33:J33" si="18">ROUND(E16/1000,0)</f>
        <v>0</v>
      </c>
      <c r="F33" s="130">
        <f t="shared" si="18"/>
        <v>519</v>
      </c>
      <c r="G33" s="130">
        <f t="shared" si="18"/>
        <v>519</v>
      </c>
      <c r="H33" s="130">
        <f t="shared" si="18"/>
        <v>0</v>
      </c>
      <c r="I33" s="130">
        <f t="shared" si="18"/>
        <v>0</v>
      </c>
      <c r="J33" s="130">
        <f t="shared" si="18"/>
        <v>0</v>
      </c>
      <c r="L33" s="26"/>
      <c r="M33" s="2"/>
      <c r="N33" s="2"/>
      <c r="O33" s="2"/>
      <c r="P33" s="26"/>
    </row>
    <row r="34" spans="1:16" x14ac:dyDescent="0.35">
      <c r="A34" s="137" t="str">
        <f t="shared" ref="A34:D34" si="19">A17</f>
        <v>Kokku</v>
      </c>
      <c r="B34" s="137">
        <f t="shared" si="19"/>
        <v>0</v>
      </c>
      <c r="C34" s="137">
        <f t="shared" si="19"/>
        <v>0</v>
      </c>
      <c r="D34" s="137">
        <f t="shared" si="19"/>
        <v>0</v>
      </c>
      <c r="E34" s="130">
        <f t="shared" ref="E34:J34" si="20">ROUND(E17/1000,0)</f>
        <v>2598</v>
      </c>
      <c r="F34" s="130">
        <f t="shared" si="20"/>
        <v>13170</v>
      </c>
      <c r="G34" s="130">
        <f t="shared" si="20"/>
        <v>14022</v>
      </c>
      <c r="H34" s="130">
        <f t="shared" si="20"/>
        <v>1746</v>
      </c>
      <c r="I34" s="130">
        <f t="shared" si="20"/>
        <v>0</v>
      </c>
      <c r="J34" s="130">
        <f t="shared" si="20"/>
        <v>0</v>
      </c>
      <c r="M34" s="238"/>
      <c r="N34" s="2"/>
      <c r="O34" s="2"/>
      <c r="P34" s="26"/>
    </row>
    <row r="35" spans="1:16" x14ac:dyDescent="0.35">
      <c r="A35" s="137">
        <f t="shared" ref="A35:D35" si="21">A18</f>
        <v>0</v>
      </c>
      <c r="B35" s="137">
        <f t="shared" si="21"/>
        <v>0</v>
      </c>
      <c r="C35" s="137">
        <f t="shared" si="21"/>
        <v>0</v>
      </c>
      <c r="D35" s="137" t="str">
        <f t="shared" si="21"/>
        <v>oli</v>
      </c>
      <c r="E35" s="130">
        <f t="shared" ref="E35:J35" si="22">ROUND(E18/1000,0)</f>
        <v>2613</v>
      </c>
      <c r="F35" s="130">
        <f t="shared" si="22"/>
        <v>0</v>
      </c>
      <c r="G35" s="130">
        <f t="shared" si="22"/>
        <v>0</v>
      </c>
      <c r="H35" s="130">
        <f t="shared" si="22"/>
        <v>0</v>
      </c>
      <c r="I35" s="130">
        <f t="shared" si="22"/>
        <v>0</v>
      </c>
      <c r="J35" s="130">
        <f t="shared" si="22"/>
        <v>0</v>
      </c>
      <c r="M35" s="2"/>
      <c r="N35" s="2"/>
      <c r="O35" s="2"/>
      <c r="P35" s="26"/>
    </row>
    <row r="36" spans="1:16" x14ac:dyDescent="0.35">
      <c r="A36" s="137">
        <f t="shared" ref="A36:D36" si="23">A19</f>
        <v>0</v>
      </c>
      <c r="B36" s="137">
        <f t="shared" si="23"/>
        <v>0</v>
      </c>
      <c r="C36" s="137">
        <f t="shared" si="23"/>
        <v>0</v>
      </c>
      <c r="D36" s="137" t="str">
        <f t="shared" si="23"/>
        <v>vahe</v>
      </c>
      <c r="E36" s="130">
        <f t="shared" ref="E36:J36" si="24">ROUND(E19/1000,0)</f>
        <v>-15</v>
      </c>
      <c r="F36" s="130">
        <f t="shared" si="24"/>
        <v>0</v>
      </c>
      <c r="G36" s="130">
        <f t="shared" si="24"/>
        <v>0</v>
      </c>
      <c r="H36" s="130">
        <f t="shared" si="24"/>
        <v>0</v>
      </c>
      <c r="I36" s="130">
        <f t="shared" si="24"/>
        <v>0</v>
      </c>
      <c r="J36" s="130">
        <f t="shared" si="24"/>
        <v>0</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0C24C-E4ED-432A-B097-6D07750BF79E}">
  <dimension ref="A1:Q44"/>
  <sheetViews>
    <sheetView workbookViewId="0">
      <selection activeCell="F6" sqref="F6"/>
    </sheetView>
  </sheetViews>
  <sheetFormatPr defaultRowHeight="14.5" x14ac:dyDescent="0.35"/>
  <cols>
    <col min="1" max="1" width="27.54296875" customWidth="1"/>
    <col min="2" max="2" width="19.26953125" style="152" customWidth="1"/>
    <col min="3" max="3" width="21.7265625" customWidth="1"/>
    <col min="4" max="4" width="14" customWidth="1"/>
    <col min="5" max="5" width="14.26953125" customWidth="1"/>
    <col min="6" max="6" width="13" customWidth="1"/>
    <col min="7" max="7" width="16.26953125" customWidth="1"/>
    <col min="8" max="8" width="14.54296875" customWidth="1"/>
    <col min="9" max="9" width="13.81640625" customWidth="1"/>
    <col min="10" max="10" width="19.26953125" customWidth="1"/>
    <col min="11" max="11" width="10" bestFit="1" customWidth="1"/>
    <col min="12" max="12" width="11.453125" bestFit="1" customWidth="1"/>
    <col min="14" max="14" width="10.453125" bestFit="1" customWidth="1"/>
    <col min="16" max="16" width="10" bestFit="1" customWidth="1"/>
  </cols>
  <sheetData>
    <row r="1" spans="1:17" x14ac:dyDescent="0.35">
      <c r="A1" s="51" t="s">
        <v>924</v>
      </c>
      <c r="D1" s="26"/>
      <c r="E1" s="26"/>
      <c r="F1" s="26"/>
      <c r="G1" s="26"/>
      <c r="H1" s="26"/>
      <c r="I1" s="26"/>
    </row>
    <row r="2" spans="1:17" x14ac:dyDescent="0.35">
      <c r="D2" s="26"/>
      <c r="E2" s="26"/>
      <c r="F2" s="26"/>
      <c r="G2" s="26"/>
      <c r="H2" s="26"/>
      <c r="I2" s="26"/>
    </row>
    <row r="3" spans="1:17" x14ac:dyDescent="0.35">
      <c r="A3" s="3" t="s">
        <v>113</v>
      </c>
      <c r="B3" s="153" t="s">
        <v>128</v>
      </c>
      <c r="C3" s="3" t="s">
        <v>115</v>
      </c>
      <c r="D3" s="61" t="s">
        <v>96</v>
      </c>
      <c r="E3" s="61" t="s">
        <v>926</v>
      </c>
      <c r="F3" s="61" t="s">
        <v>116</v>
      </c>
      <c r="G3" s="61" t="s">
        <v>117</v>
      </c>
      <c r="H3" s="61" t="s">
        <v>929</v>
      </c>
      <c r="I3" s="61" t="s">
        <v>783</v>
      </c>
    </row>
    <row r="4" spans="1:17" x14ac:dyDescent="0.35">
      <c r="A4" s="3" t="s">
        <v>88</v>
      </c>
      <c r="B4" s="153">
        <v>186</v>
      </c>
      <c r="C4" s="3" t="s">
        <v>133</v>
      </c>
      <c r="D4" s="53">
        <v>165448</v>
      </c>
      <c r="E4" s="53">
        <v>0</v>
      </c>
      <c r="F4" s="53">
        <v>2360</v>
      </c>
      <c r="G4" s="53">
        <f>D4+E4-F4</f>
        <v>163088</v>
      </c>
      <c r="H4" s="53"/>
      <c r="I4" s="53"/>
      <c r="J4" s="26"/>
      <c r="K4" s="26"/>
      <c r="L4" s="26"/>
      <c r="M4" s="26"/>
      <c r="Q4" s="26"/>
    </row>
    <row r="5" spans="1:17" x14ac:dyDescent="0.35">
      <c r="A5" s="3" t="s">
        <v>88</v>
      </c>
      <c r="B5" s="153">
        <v>349</v>
      </c>
      <c r="C5" s="229" t="s">
        <v>851</v>
      </c>
      <c r="D5" s="53">
        <v>1494959</v>
      </c>
      <c r="E5" s="53">
        <v>0</v>
      </c>
      <c r="F5" s="53">
        <v>1493430</v>
      </c>
      <c r="G5" s="53">
        <f>D5+E5-F5</f>
        <v>1529</v>
      </c>
      <c r="H5" s="53"/>
      <c r="I5" s="53"/>
      <c r="J5" s="26"/>
      <c r="K5" s="26"/>
      <c r="L5" s="26"/>
      <c r="M5" s="26"/>
      <c r="Q5" s="26"/>
    </row>
    <row r="6" spans="1:17" x14ac:dyDescent="0.35">
      <c r="A6" s="3" t="s">
        <v>88</v>
      </c>
      <c r="B6" s="153">
        <v>275</v>
      </c>
      <c r="C6" s="229" t="s">
        <v>851</v>
      </c>
      <c r="D6" s="53">
        <v>2509605</v>
      </c>
      <c r="E6" s="53">
        <v>0</v>
      </c>
      <c r="F6" s="53">
        <v>2378726.4700000002</v>
      </c>
      <c r="G6" s="53">
        <f t="shared" ref="G6:G20" si="0">D6+E6-F6</f>
        <v>130878.5299999998</v>
      </c>
      <c r="H6" s="53"/>
      <c r="I6" s="53"/>
      <c r="J6" s="26"/>
      <c r="M6" s="26"/>
      <c r="Q6" s="26"/>
    </row>
    <row r="7" spans="1:17" x14ac:dyDescent="0.35">
      <c r="A7" s="3" t="s">
        <v>88</v>
      </c>
      <c r="B7" s="153">
        <v>246</v>
      </c>
      <c r="C7" s="232" t="s">
        <v>981</v>
      </c>
      <c r="D7" s="53">
        <v>3000000</v>
      </c>
      <c r="E7" s="53">
        <v>0</v>
      </c>
      <c r="F7" s="53">
        <v>248033</v>
      </c>
      <c r="G7" s="53">
        <f t="shared" si="0"/>
        <v>2751967</v>
      </c>
      <c r="H7" s="53"/>
      <c r="I7" s="53"/>
      <c r="J7" s="26"/>
      <c r="K7" s="26"/>
      <c r="M7" s="26"/>
      <c r="Q7" s="26"/>
    </row>
    <row r="8" spans="1:17" x14ac:dyDescent="0.35">
      <c r="A8" s="3" t="s">
        <v>89</v>
      </c>
      <c r="B8" s="153">
        <v>65</v>
      </c>
      <c r="C8" s="3" t="s">
        <v>129</v>
      </c>
      <c r="D8" s="53">
        <v>21937.62</v>
      </c>
      <c r="E8" s="53">
        <v>0</v>
      </c>
      <c r="F8" s="53">
        <v>1925.81</v>
      </c>
      <c r="G8" s="53">
        <f t="shared" si="0"/>
        <v>20011.809999999998</v>
      </c>
      <c r="H8" s="53"/>
      <c r="I8" s="53"/>
      <c r="J8" s="26" t="s">
        <v>1094</v>
      </c>
      <c r="M8" s="26"/>
      <c r="Q8" s="26"/>
    </row>
    <row r="9" spans="1:17" x14ac:dyDescent="0.35">
      <c r="A9" s="3" t="s">
        <v>89</v>
      </c>
      <c r="B9" s="153">
        <v>135</v>
      </c>
      <c r="C9" s="3" t="s">
        <v>786</v>
      </c>
      <c r="D9" s="53">
        <v>33455.64</v>
      </c>
      <c r="E9" s="53">
        <v>0</v>
      </c>
      <c r="F9" s="53">
        <v>549</v>
      </c>
      <c r="G9" s="53">
        <f t="shared" si="0"/>
        <v>32906.639999999999</v>
      </c>
      <c r="H9" s="53"/>
      <c r="I9" s="53"/>
      <c r="J9" s="26" t="s">
        <v>1094</v>
      </c>
      <c r="M9" s="26"/>
      <c r="Q9" s="26"/>
    </row>
    <row r="10" spans="1:17" x14ac:dyDescent="0.35">
      <c r="A10" s="3" t="s">
        <v>89</v>
      </c>
      <c r="B10" s="153">
        <v>165</v>
      </c>
      <c r="C10" s="3" t="s">
        <v>130</v>
      </c>
      <c r="D10" s="53">
        <v>94064</v>
      </c>
      <c r="E10" s="53">
        <v>0</v>
      </c>
      <c r="F10" s="53">
        <v>2300</v>
      </c>
      <c r="G10" s="53">
        <f t="shared" si="0"/>
        <v>91764</v>
      </c>
      <c r="H10" s="53"/>
      <c r="I10" s="53"/>
      <c r="J10" s="26" t="s">
        <v>1094</v>
      </c>
      <c r="Q10" s="26"/>
    </row>
    <row r="11" spans="1:17" x14ac:dyDescent="0.35">
      <c r="A11" s="3" t="s">
        <v>89</v>
      </c>
      <c r="B11" s="153">
        <v>455</v>
      </c>
      <c r="C11" s="54" t="s">
        <v>132</v>
      </c>
      <c r="D11" s="53">
        <v>234305.88</v>
      </c>
      <c r="E11" s="53">
        <v>0</v>
      </c>
      <c r="F11" s="53">
        <v>39690.75</v>
      </c>
      <c r="G11" s="53">
        <f t="shared" si="0"/>
        <v>194615.13</v>
      </c>
      <c r="H11" s="53"/>
      <c r="I11" s="53"/>
      <c r="J11" s="26" t="s">
        <v>1094</v>
      </c>
      <c r="Q11" s="26"/>
    </row>
    <row r="12" spans="1:17" x14ac:dyDescent="0.35">
      <c r="A12" s="3" t="s">
        <v>89</v>
      </c>
      <c r="B12" s="153">
        <v>16</v>
      </c>
      <c r="C12" s="3" t="s">
        <v>131</v>
      </c>
      <c r="D12" s="53">
        <v>255364.24</v>
      </c>
      <c r="E12" s="53">
        <v>0</v>
      </c>
      <c r="F12" s="53">
        <v>3175.64</v>
      </c>
      <c r="G12" s="53">
        <f t="shared" si="0"/>
        <v>252188.59999999998</v>
      </c>
      <c r="H12" s="53"/>
      <c r="I12" s="53"/>
      <c r="J12" s="26" t="s">
        <v>1094</v>
      </c>
      <c r="Q12" s="26"/>
    </row>
    <row r="13" spans="1:17" x14ac:dyDescent="0.35">
      <c r="A13" s="3" t="s">
        <v>89</v>
      </c>
      <c r="B13" s="153">
        <v>247</v>
      </c>
      <c r="C13" s="229" t="s">
        <v>1142</v>
      </c>
      <c r="D13" s="53">
        <v>0</v>
      </c>
      <c r="E13" s="53">
        <v>1381000</v>
      </c>
      <c r="F13" s="53">
        <v>942242.26</v>
      </c>
      <c r="G13" s="53">
        <f t="shared" si="0"/>
        <v>438757.74</v>
      </c>
      <c r="H13" s="53"/>
      <c r="I13" s="53"/>
      <c r="J13" s="26"/>
      <c r="Q13" s="26"/>
    </row>
    <row r="14" spans="1:17" x14ac:dyDescent="0.35">
      <c r="A14" s="3" t="s">
        <v>89</v>
      </c>
      <c r="B14" s="153">
        <v>108</v>
      </c>
      <c r="C14" s="229" t="s">
        <v>1143</v>
      </c>
      <c r="D14" s="53">
        <v>0</v>
      </c>
      <c r="E14" s="53">
        <v>700000</v>
      </c>
      <c r="F14" s="53">
        <v>0</v>
      </c>
      <c r="G14" s="53">
        <f t="shared" si="0"/>
        <v>700000</v>
      </c>
      <c r="H14" s="53"/>
      <c r="I14" s="53"/>
      <c r="J14" s="26"/>
      <c r="Q14" s="26"/>
    </row>
    <row r="15" spans="1:17" x14ac:dyDescent="0.35">
      <c r="A15" s="3" t="s">
        <v>90</v>
      </c>
      <c r="B15" s="153">
        <v>10</v>
      </c>
      <c r="C15" s="3" t="s">
        <v>134</v>
      </c>
      <c r="D15" s="53">
        <v>5537.87</v>
      </c>
      <c r="E15" s="53">
        <v>0</v>
      </c>
      <c r="F15" s="53">
        <v>0</v>
      </c>
      <c r="G15" s="53">
        <f t="shared" si="0"/>
        <v>5537.87</v>
      </c>
      <c r="H15" s="53"/>
      <c r="I15" s="53"/>
      <c r="L15" s="26"/>
      <c r="Q15" s="26"/>
    </row>
    <row r="16" spans="1:17" x14ac:dyDescent="0.35">
      <c r="A16" s="3" t="s">
        <v>90</v>
      </c>
      <c r="B16" s="153" t="s">
        <v>986</v>
      </c>
      <c r="C16" s="3" t="s">
        <v>135</v>
      </c>
      <c r="D16" s="53">
        <v>38913.660000000003</v>
      </c>
      <c r="E16" s="53">
        <v>0</v>
      </c>
      <c r="F16" s="53">
        <v>30637.85</v>
      </c>
      <c r="G16" s="53">
        <f t="shared" ref="G16" si="1">D16+E16-F16</f>
        <v>8275.8100000000049</v>
      </c>
      <c r="H16" s="53"/>
      <c r="I16" s="53"/>
      <c r="J16" t="s">
        <v>136</v>
      </c>
      <c r="K16" t="s">
        <v>137</v>
      </c>
      <c r="L16" s="26" t="s">
        <v>138</v>
      </c>
      <c r="M16" t="s">
        <v>772</v>
      </c>
      <c r="N16" t="s">
        <v>987</v>
      </c>
      <c r="Q16" s="26"/>
    </row>
    <row r="17" spans="1:17" x14ac:dyDescent="0.35">
      <c r="A17" s="3" t="s">
        <v>90</v>
      </c>
      <c r="B17" s="153" t="s">
        <v>984</v>
      </c>
      <c r="C17" s="3" t="s">
        <v>139</v>
      </c>
      <c r="D17" s="53">
        <v>45235.14</v>
      </c>
      <c r="E17" s="53">
        <v>0</v>
      </c>
      <c r="F17" s="53">
        <v>45235.14</v>
      </c>
      <c r="G17" s="53">
        <f t="shared" si="0"/>
        <v>0</v>
      </c>
      <c r="H17" s="53">
        <v>0</v>
      </c>
      <c r="I17" s="53">
        <v>0</v>
      </c>
      <c r="J17" s="26" t="s">
        <v>774</v>
      </c>
      <c r="K17" t="s">
        <v>985</v>
      </c>
      <c r="Q17" s="26"/>
    </row>
    <row r="18" spans="1:17" x14ac:dyDescent="0.35">
      <c r="A18" s="3" t="s">
        <v>90</v>
      </c>
      <c r="B18" s="153">
        <v>279</v>
      </c>
      <c r="C18" s="54" t="s">
        <v>141</v>
      </c>
      <c r="D18" s="53">
        <v>303794.40999999997</v>
      </c>
      <c r="E18" s="53">
        <v>0</v>
      </c>
      <c r="F18" s="53">
        <v>257.24</v>
      </c>
      <c r="G18" s="53">
        <f t="shared" si="0"/>
        <v>303537.17</v>
      </c>
      <c r="H18" s="53"/>
      <c r="I18" s="53"/>
      <c r="J18" t="s">
        <v>775</v>
      </c>
      <c r="K18" t="s">
        <v>140</v>
      </c>
      <c r="L18" t="s">
        <v>773</v>
      </c>
      <c r="Q18" s="26"/>
    </row>
    <row r="19" spans="1:17" x14ac:dyDescent="0.35">
      <c r="A19" s="3" t="s">
        <v>90</v>
      </c>
      <c r="B19" s="153">
        <v>45</v>
      </c>
      <c r="C19" s="229" t="s">
        <v>852</v>
      </c>
      <c r="D19" s="53">
        <v>166331.5</v>
      </c>
      <c r="E19" s="53">
        <v>0</v>
      </c>
      <c r="F19" s="53">
        <v>55483.15</v>
      </c>
      <c r="G19" s="53">
        <f t="shared" si="0"/>
        <v>110848.35</v>
      </c>
      <c r="H19" s="53"/>
      <c r="I19" s="53"/>
      <c r="J19" s="26"/>
      <c r="Q19" s="26"/>
    </row>
    <row r="20" spans="1:17" x14ac:dyDescent="0.35">
      <c r="A20" s="3" t="s">
        <v>90</v>
      </c>
      <c r="B20" s="153">
        <v>66</v>
      </c>
      <c r="C20" s="3" t="s">
        <v>982</v>
      </c>
      <c r="D20" s="53">
        <v>43374.96</v>
      </c>
      <c r="E20" s="53">
        <v>0</v>
      </c>
      <c r="F20" s="53">
        <v>4819.4399999999996</v>
      </c>
      <c r="G20" s="53">
        <f t="shared" si="0"/>
        <v>38555.519999999997</v>
      </c>
      <c r="H20" s="53"/>
      <c r="I20" s="53"/>
      <c r="J20" s="26"/>
      <c r="Q20" s="26"/>
    </row>
    <row r="21" spans="1:17" x14ac:dyDescent="0.35">
      <c r="A21" s="3" t="s">
        <v>90</v>
      </c>
      <c r="B21" s="153">
        <v>167</v>
      </c>
      <c r="C21" s="3" t="s">
        <v>983</v>
      </c>
      <c r="D21" s="53">
        <v>30413.200000000001</v>
      </c>
      <c r="E21" s="53">
        <v>0</v>
      </c>
      <c r="F21" s="53">
        <v>30413.200000000001</v>
      </c>
      <c r="G21" s="53">
        <f t="shared" ref="G21" si="2">D21+E21-F21</f>
        <v>0</v>
      </c>
      <c r="H21" s="53">
        <v>0</v>
      </c>
      <c r="I21" s="53">
        <v>0</v>
      </c>
      <c r="J21" s="26"/>
      <c r="Q21" s="26"/>
    </row>
    <row r="22" spans="1:17" x14ac:dyDescent="0.35">
      <c r="A22" s="3" t="s">
        <v>79</v>
      </c>
      <c r="B22" s="153"/>
      <c r="C22" s="3"/>
      <c r="D22" s="53">
        <f t="shared" ref="D22:I22" si="3">SUM(D4:D21)</f>
        <v>8442740.1199999992</v>
      </c>
      <c r="E22" s="53">
        <f t="shared" si="3"/>
        <v>2081000</v>
      </c>
      <c r="F22" s="53">
        <f t="shared" si="3"/>
        <v>5279278.9500000011</v>
      </c>
      <c r="G22" s="53">
        <f t="shared" si="3"/>
        <v>5244461.169999999</v>
      </c>
      <c r="H22" s="53">
        <f t="shared" si="3"/>
        <v>0</v>
      </c>
      <c r="I22" s="53">
        <f t="shared" si="3"/>
        <v>0</v>
      </c>
      <c r="Q22" s="26"/>
    </row>
    <row r="23" spans="1:17" x14ac:dyDescent="0.35">
      <c r="C23" s="60" t="s">
        <v>15</v>
      </c>
      <c r="D23" s="26">
        <v>8442739.9700000007</v>
      </c>
      <c r="E23" s="26">
        <v>2081000</v>
      </c>
      <c r="F23" s="26"/>
      <c r="G23" s="26"/>
      <c r="H23" s="26"/>
      <c r="I23" s="26"/>
      <c r="Q23" s="26"/>
    </row>
    <row r="24" spans="1:17" x14ac:dyDescent="0.35">
      <c r="D24" s="26"/>
      <c r="E24" s="26"/>
      <c r="F24" s="26"/>
      <c r="G24" s="26"/>
      <c r="H24" s="26"/>
      <c r="I24" s="26"/>
    </row>
    <row r="25" spans="1:17" x14ac:dyDescent="0.35">
      <c r="A25" s="62" t="s">
        <v>113</v>
      </c>
      <c r="B25" s="154" t="s">
        <v>128</v>
      </c>
      <c r="C25" s="62" t="s">
        <v>115</v>
      </c>
      <c r="D25" s="63" t="s">
        <v>96</v>
      </c>
      <c r="E25" s="63" t="s">
        <v>927</v>
      </c>
      <c r="F25" s="63" t="s">
        <v>116</v>
      </c>
      <c r="G25" s="63" t="s">
        <v>117</v>
      </c>
      <c r="H25" s="63" t="s">
        <v>928</v>
      </c>
      <c r="I25" s="63" t="s">
        <v>783</v>
      </c>
    </row>
    <row r="26" spans="1:17" x14ac:dyDescent="0.35">
      <c r="A26" s="188" t="str">
        <f t="shared" ref="A26:C26" si="4">A4</f>
        <v>Kultuuriministeerium</v>
      </c>
      <c r="B26" s="188">
        <f t="shared" si="4"/>
        <v>186</v>
      </c>
      <c r="C26" s="188" t="str">
        <f t="shared" si="4"/>
        <v>Omandireformi käigus tagastatud ehitusmälestiste hooldamine, remont, konserveerimine, restaureerimine</v>
      </c>
      <c r="D26" s="190">
        <f t="shared" ref="D26:I26" si="5">ROUND(D4/1000,0)</f>
        <v>165</v>
      </c>
      <c r="E26" s="190">
        <f t="shared" si="5"/>
        <v>0</v>
      </c>
      <c r="F26" s="190">
        <f t="shared" si="5"/>
        <v>2</v>
      </c>
      <c r="G26" s="190">
        <f t="shared" si="5"/>
        <v>163</v>
      </c>
      <c r="H26" s="190">
        <f t="shared" si="5"/>
        <v>0</v>
      </c>
      <c r="I26" s="190">
        <f t="shared" si="5"/>
        <v>0</v>
      </c>
    </row>
    <row r="27" spans="1:17" x14ac:dyDescent="0.35">
      <c r="A27" s="188" t="str">
        <f t="shared" ref="A27:C27" si="6">A5</f>
        <v>Kultuuriministeerium</v>
      </c>
      <c r="B27" s="188">
        <f t="shared" si="6"/>
        <v>349</v>
      </c>
      <c r="C27" s="188" t="str">
        <f t="shared" si="6"/>
        <v>Omandireformi käigus tagastatud ehitismälestiste hooldus, remont</v>
      </c>
      <c r="D27" s="190">
        <f t="shared" ref="D27:I27" si="7">ROUND(D5/1000,0)</f>
        <v>1495</v>
      </c>
      <c r="E27" s="190">
        <f t="shared" si="7"/>
        <v>0</v>
      </c>
      <c r="F27" s="190">
        <f t="shared" si="7"/>
        <v>1493</v>
      </c>
      <c r="G27" s="190">
        <f t="shared" si="7"/>
        <v>2</v>
      </c>
      <c r="H27" s="190">
        <f t="shared" si="7"/>
        <v>0</v>
      </c>
      <c r="I27" s="190">
        <f t="shared" si="7"/>
        <v>0</v>
      </c>
    </row>
    <row r="28" spans="1:17" x14ac:dyDescent="0.35">
      <c r="A28" s="188" t="str">
        <f t="shared" ref="A28:C28" si="8">A6</f>
        <v>Kultuuriministeerium</v>
      </c>
      <c r="B28" s="188">
        <f t="shared" si="8"/>
        <v>275</v>
      </c>
      <c r="C28" s="188" t="str">
        <f t="shared" si="8"/>
        <v>Omandireformi käigus tagastatud ehitismälestiste hooldus, remont</v>
      </c>
      <c r="D28" s="190">
        <f t="shared" ref="D28:I28" si="9">ROUND(D6/1000,0)</f>
        <v>2510</v>
      </c>
      <c r="E28" s="190">
        <f t="shared" si="9"/>
        <v>0</v>
      </c>
      <c r="F28" s="190">
        <f t="shared" si="9"/>
        <v>2379</v>
      </c>
      <c r="G28" s="190">
        <f t="shared" si="9"/>
        <v>131</v>
      </c>
      <c r="H28" s="190">
        <f t="shared" si="9"/>
        <v>0</v>
      </c>
      <c r="I28" s="190">
        <f t="shared" si="9"/>
        <v>0</v>
      </c>
    </row>
    <row r="29" spans="1:17" x14ac:dyDescent="0.35">
      <c r="A29" s="188" t="str">
        <f t="shared" ref="A29:C29" si="10">A7</f>
        <v>Kultuuriministeerium</v>
      </c>
      <c r="B29" s="188">
        <f t="shared" si="10"/>
        <v>246</v>
      </c>
      <c r="C29" s="188" t="str">
        <f t="shared" si="10"/>
        <v>Omandireformi käigus tagastatud ehitismälestiste hooldus, remont, konserveerimine, taastamine</v>
      </c>
      <c r="D29" s="190">
        <f t="shared" ref="D29:I29" si="11">ROUND(D7/1000,0)</f>
        <v>3000</v>
      </c>
      <c r="E29" s="190">
        <f t="shared" si="11"/>
        <v>0</v>
      </c>
      <c r="F29" s="190">
        <f t="shared" si="11"/>
        <v>248</v>
      </c>
      <c r="G29" s="190">
        <f t="shared" si="11"/>
        <v>2752</v>
      </c>
      <c r="H29" s="190">
        <f t="shared" si="11"/>
        <v>0</v>
      </c>
      <c r="I29" s="190">
        <f t="shared" si="11"/>
        <v>0</v>
      </c>
    </row>
    <row r="30" spans="1:17" x14ac:dyDescent="0.35">
      <c r="A30" s="188" t="str">
        <f t="shared" ref="A30:C30" si="12">A8</f>
        <v>Majandus- ja Kommunikatsiooniministeerium</v>
      </c>
      <c r="B30" s="188">
        <f t="shared" si="12"/>
        <v>65</v>
      </c>
      <c r="C30" s="188" t="str">
        <f t="shared" si="12"/>
        <v>Maareformi kulude katteks</v>
      </c>
      <c r="D30" s="190">
        <f t="shared" ref="D30:I30" si="13">ROUND(D8/1000,0)</f>
        <v>22</v>
      </c>
      <c r="E30" s="190">
        <f t="shared" si="13"/>
        <v>0</v>
      </c>
      <c r="F30" s="190">
        <f t="shared" si="13"/>
        <v>2</v>
      </c>
      <c r="G30" s="190">
        <f t="shared" si="13"/>
        <v>20</v>
      </c>
      <c r="H30" s="190">
        <f t="shared" si="13"/>
        <v>0</v>
      </c>
      <c r="I30" s="190">
        <f t="shared" si="13"/>
        <v>0</v>
      </c>
    </row>
    <row r="31" spans="1:17" x14ac:dyDescent="0.35">
      <c r="A31" s="188" t="str">
        <f t="shared" ref="A31:C31" si="14">A9</f>
        <v>Majandus- ja Kommunikatsiooniministeerium</v>
      </c>
      <c r="B31" s="188">
        <f t="shared" si="14"/>
        <v>135</v>
      </c>
      <c r="C31" s="188" t="str">
        <f t="shared" si="14"/>
        <v>Õigusvastaselt võõrandatud maa tagastamine</v>
      </c>
      <c r="D31" s="190">
        <f t="shared" ref="D31:I31" si="15">ROUND(D9/1000,0)</f>
        <v>33</v>
      </c>
      <c r="E31" s="190">
        <f t="shared" si="15"/>
        <v>0</v>
      </c>
      <c r="F31" s="190">
        <f t="shared" si="15"/>
        <v>1</v>
      </c>
      <c r="G31" s="190">
        <f t="shared" si="15"/>
        <v>33</v>
      </c>
      <c r="H31" s="190">
        <f t="shared" si="15"/>
        <v>0</v>
      </c>
      <c r="I31" s="190">
        <f t="shared" si="15"/>
        <v>0</v>
      </c>
    </row>
    <row r="32" spans="1:17" x14ac:dyDescent="0.35">
      <c r="A32" s="188" t="str">
        <f t="shared" ref="A32:C32" si="16">A10</f>
        <v>Majandus- ja Kommunikatsiooniministeerium</v>
      </c>
      <c r="B32" s="188">
        <f t="shared" si="16"/>
        <v>165</v>
      </c>
      <c r="C32" s="188" t="str">
        <f t="shared" si="16"/>
        <v>Maareformiga seotud kuludeks</v>
      </c>
      <c r="D32" s="190">
        <f t="shared" ref="D32:I32" si="17">ROUND(D10/1000,0)</f>
        <v>94</v>
      </c>
      <c r="E32" s="190">
        <f t="shared" si="17"/>
        <v>0</v>
      </c>
      <c r="F32" s="190">
        <f t="shared" si="17"/>
        <v>2</v>
      </c>
      <c r="G32" s="190">
        <f t="shared" si="17"/>
        <v>92</v>
      </c>
      <c r="H32" s="190">
        <f t="shared" si="17"/>
        <v>0</v>
      </c>
      <c r="I32" s="190">
        <f t="shared" si="17"/>
        <v>0</v>
      </c>
    </row>
    <row r="33" spans="1:9" x14ac:dyDescent="0.35">
      <c r="A33" s="188" t="str">
        <f t="shared" ref="A33:C33" si="18">A11</f>
        <v>Majandus- ja Kommunikatsiooniministeerium</v>
      </c>
      <c r="B33" s="188">
        <f t="shared" si="18"/>
        <v>455</v>
      </c>
      <c r="C33" s="188" t="str">
        <f t="shared" si="18"/>
        <v>Maareformi elluviimine ja ettevõtluse arendamiseks vajaliku keskkonna ja tingimiste loomine</v>
      </c>
      <c r="D33" s="190">
        <f t="shared" ref="D33:I33" si="19">ROUND(D11/1000,0)</f>
        <v>234</v>
      </c>
      <c r="E33" s="190">
        <f t="shared" si="19"/>
        <v>0</v>
      </c>
      <c r="F33" s="190">
        <f t="shared" si="19"/>
        <v>40</v>
      </c>
      <c r="G33" s="190">
        <f t="shared" si="19"/>
        <v>195</v>
      </c>
      <c r="H33" s="190">
        <f t="shared" si="19"/>
        <v>0</v>
      </c>
      <c r="I33" s="190">
        <f t="shared" si="19"/>
        <v>0</v>
      </c>
    </row>
    <row r="34" spans="1:9" x14ac:dyDescent="0.35">
      <c r="A34" s="188" t="str">
        <f t="shared" ref="A34:C34" si="20">A12</f>
        <v>Majandus- ja Kommunikatsiooniministeerium</v>
      </c>
      <c r="B34" s="188">
        <f t="shared" si="20"/>
        <v>16</v>
      </c>
      <c r="C34" s="188" t="str">
        <f t="shared" si="20"/>
        <v>Hoonestusõiguse seadmiseks</v>
      </c>
      <c r="D34" s="190">
        <f t="shared" ref="D34:I34" si="21">ROUND(D12/1000,0)</f>
        <v>255</v>
      </c>
      <c r="E34" s="190">
        <f t="shared" si="21"/>
        <v>0</v>
      </c>
      <c r="F34" s="190">
        <f t="shared" si="21"/>
        <v>3</v>
      </c>
      <c r="G34" s="190">
        <f t="shared" si="21"/>
        <v>252</v>
      </c>
      <c r="H34" s="190">
        <f t="shared" si="21"/>
        <v>0</v>
      </c>
      <c r="I34" s="190">
        <f t="shared" si="21"/>
        <v>0</v>
      </c>
    </row>
    <row r="35" spans="1:9" x14ac:dyDescent="0.35">
      <c r="A35" s="188" t="str">
        <f t="shared" ref="A35:C35" si="22">A13</f>
        <v>Majandus- ja Kommunikatsiooniministeerium</v>
      </c>
      <c r="B35" s="188">
        <f t="shared" si="22"/>
        <v>247</v>
      </c>
      <c r="C35" s="188" t="str">
        <f t="shared" si="22"/>
        <v>Maareformi elluviimine ja ettevõtluse arendamiseks vajaliku keskkonna ja tingimuste loomine</v>
      </c>
      <c r="D35" s="190">
        <f t="shared" ref="D35:I35" si="23">ROUND(D13/1000,0)</f>
        <v>0</v>
      </c>
      <c r="E35" s="190">
        <f t="shared" si="23"/>
        <v>1381</v>
      </c>
      <c r="F35" s="190">
        <f t="shared" si="23"/>
        <v>942</v>
      </c>
      <c r="G35" s="190">
        <f t="shared" si="23"/>
        <v>439</v>
      </c>
      <c r="H35" s="190">
        <f t="shared" si="23"/>
        <v>0</v>
      </c>
      <c r="I35" s="190">
        <f t="shared" si="23"/>
        <v>0</v>
      </c>
    </row>
    <row r="36" spans="1:9" x14ac:dyDescent="0.35">
      <c r="A36" s="188" t="str">
        <f t="shared" ref="A36:C36" si="24">A14</f>
        <v>Majandus- ja Kommunikatsiooniministeerium</v>
      </c>
      <c r="B36" s="188">
        <f t="shared" si="24"/>
        <v>108</v>
      </c>
      <c r="C36" s="188" t="str">
        <f t="shared" si="24"/>
        <v>Mõõdistuslennuki kapitaalremont</v>
      </c>
      <c r="D36" s="190">
        <f t="shared" ref="D36:I36" si="25">ROUND(D14/1000,0)</f>
        <v>0</v>
      </c>
      <c r="E36" s="190">
        <f t="shared" si="25"/>
        <v>700</v>
      </c>
      <c r="F36" s="190">
        <f t="shared" si="25"/>
        <v>0</v>
      </c>
      <c r="G36" s="190">
        <f t="shared" si="25"/>
        <v>700</v>
      </c>
      <c r="H36" s="190">
        <f t="shared" si="25"/>
        <v>0</v>
      </c>
      <c r="I36" s="190">
        <f t="shared" si="25"/>
        <v>0</v>
      </c>
    </row>
    <row r="37" spans="1:9" x14ac:dyDescent="0.35">
      <c r="A37" s="188" t="str">
        <f t="shared" ref="A37:C37" si="26">A15</f>
        <v>Rahandusministeerium</v>
      </c>
      <c r="B37" s="188">
        <f t="shared" si="26"/>
        <v>10</v>
      </c>
      <c r="C37" s="188" t="str">
        <f t="shared" si="26"/>
        <v>Kohalike omavalitsuste üksustele</v>
      </c>
      <c r="D37" s="190">
        <f t="shared" ref="D37:I37" si="27">ROUND(D15/1000,0)</f>
        <v>6</v>
      </c>
      <c r="E37" s="190">
        <f t="shared" si="27"/>
        <v>0</v>
      </c>
      <c r="F37" s="190">
        <f t="shared" si="27"/>
        <v>0</v>
      </c>
      <c r="G37" s="190">
        <f t="shared" si="27"/>
        <v>6</v>
      </c>
      <c r="H37" s="190">
        <f t="shared" si="27"/>
        <v>0</v>
      </c>
      <c r="I37" s="190">
        <f t="shared" si="27"/>
        <v>0</v>
      </c>
    </row>
    <row r="38" spans="1:9" x14ac:dyDescent="0.35">
      <c r="A38" s="188" t="str">
        <f t="shared" ref="A38:C38" si="28">A16</f>
        <v>Rahandusministeerium</v>
      </c>
      <c r="B38" s="188" t="str">
        <f t="shared" si="28"/>
        <v>34,456,62,248</v>
      </c>
      <c r="C38" s="188" t="str">
        <f t="shared" si="28"/>
        <v>Omandi- ja maareformi ülesannete täitmiseks</v>
      </c>
      <c r="D38" s="190">
        <f t="shared" ref="D38:I38" si="29">ROUND(D16/1000,0)</f>
        <v>39</v>
      </c>
      <c r="E38" s="190">
        <f t="shared" si="29"/>
        <v>0</v>
      </c>
      <c r="F38" s="190">
        <f t="shared" si="29"/>
        <v>31</v>
      </c>
      <c r="G38" s="190">
        <f t="shared" si="29"/>
        <v>8</v>
      </c>
      <c r="H38" s="190">
        <f t="shared" si="29"/>
        <v>0</v>
      </c>
      <c r="I38" s="190">
        <f t="shared" si="29"/>
        <v>0</v>
      </c>
    </row>
    <row r="39" spans="1:9" x14ac:dyDescent="0.35">
      <c r="A39" s="188" t="str">
        <f t="shared" ref="A39:C39" si="30">A17</f>
        <v>Rahandusministeerium</v>
      </c>
      <c r="B39" s="188" t="str">
        <f t="shared" si="30"/>
        <v>108,55,456,96,248</v>
      </c>
      <c r="C39" s="188" t="str">
        <f t="shared" si="30"/>
        <v>Riigile loovutatud korterite ülalpidamiskuludeks</v>
      </c>
      <c r="D39" s="190">
        <f t="shared" ref="D39:I39" si="31">ROUND(D17/1000,0)</f>
        <v>45</v>
      </c>
      <c r="E39" s="190">
        <f t="shared" si="31"/>
        <v>0</v>
      </c>
      <c r="F39" s="190">
        <f t="shared" si="31"/>
        <v>45</v>
      </c>
      <c r="G39" s="190">
        <f t="shared" si="31"/>
        <v>0</v>
      </c>
      <c r="H39" s="190">
        <f t="shared" si="31"/>
        <v>0</v>
      </c>
      <c r="I39" s="190">
        <f t="shared" si="31"/>
        <v>0</v>
      </c>
    </row>
    <row r="40" spans="1:9" x14ac:dyDescent="0.35">
      <c r="A40" s="188" t="str">
        <f t="shared" ref="A40:C40" si="32">A18</f>
        <v>Rahandusministeerium</v>
      </c>
      <c r="B40" s="188">
        <f t="shared" si="32"/>
        <v>279</v>
      </c>
      <c r="C40" s="188" t="str">
        <f t="shared" si="32"/>
        <v>Õigusvastaselt võõrandatud vara kompenseerimine ja kasutamata erastamisväärtpaberite hüvitamine</v>
      </c>
      <c r="D40" s="190">
        <f t="shared" ref="D40:I40" si="33">ROUND(D18/1000,0)</f>
        <v>304</v>
      </c>
      <c r="E40" s="190">
        <f t="shared" si="33"/>
        <v>0</v>
      </c>
      <c r="F40" s="190">
        <f t="shared" si="33"/>
        <v>0</v>
      </c>
      <c r="G40" s="190">
        <f t="shared" si="33"/>
        <v>304</v>
      </c>
      <c r="H40" s="190">
        <f t="shared" si="33"/>
        <v>0</v>
      </c>
      <c r="I40" s="190">
        <f t="shared" si="33"/>
        <v>0</v>
      </c>
    </row>
    <row r="41" spans="1:9" x14ac:dyDescent="0.35">
      <c r="A41" s="188" t="str">
        <f t="shared" ref="A41:C41" si="34">A19</f>
        <v>Rahandusministeerium</v>
      </c>
      <c r="B41" s="188">
        <f t="shared" si="34"/>
        <v>45</v>
      </c>
      <c r="C41" s="188" t="str">
        <f t="shared" si="34"/>
        <v>Maa korralise hindamisega seotud infotehnoloogilised arendustööd ja infosüsteemide ülalhoid</v>
      </c>
      <c r="D41" s="190">
        <f t="shared" ref="D41:I41" si="35">ROUND(D19/1000,0)</f>
        <v>166</v>
      </c>
      <c r="E41" s="190">
        <f t="shared" si="35"/>
        <v>0</v>
      </c>
      <c r="F41" s="190">
        <f t="shared" si="35"/>
        <v>55</v>
      </c>
      <c r="G41" s="190">
        <f t="shared" si="35"/>
        <v>111</v>
      </c>
      <c r="H41" s="190">
        <f t="shared" si="35"/>
        <v>0</v>
      </c>
      <c r="I41" s="190">
        <f t="shared" si="35"/>
        <v>0</v>
      </c>
    </row>
    <row r="42" spans="1:9" x14ac:dyDescent="0.35">
      <c r="A42" s="188" t="str">
        <f t="shared" ref="A42:C42" si="36">A20</f>
        <v>Rahandusministeerium</v>
      </c>
      <c r="B42" s="188">
        <f t="shared" si="36"/>
        <v>66</v>
      </c>
      <c r="C42" s="188" t="str">
        <f t="shared" si="36"/>
        <v>RAS Agrotarve aktsiate erastamisega seotud võla hüvitamine kohtuotsuse alusel</v>
      </c>
      <c r="D42" s="190">
        <f t="shared" ref="D42:I42" si="37">ROUND(D20/1000,0)</f>
        <v>43</v>
      </c>
      <c r="E42" s="190">
        <f t="shared" si="37"/>
        <v>0</v>
      </c>
      <c r="F42" s="190">
        <f t="shared" si="37"/>
        <v>5</v>
      </c>
      <c r="G42" s="190">
        <f t="shared" si="37"/>
        <v>39</v>
      </c>
      <c r="H42" s="190">
        <f t="shared" si="37"/>
        <v>0</v>
      </c>
      <c r="I42" s="190">
        <f t="shared" si="37"/>
        <v>0</v>
      </c>
    </row>
    <row r="43" spans="1:9" x14ac:dyDescent="0.35">
      <c r="A43" s="188" t="str">
        <f t="shared" ref="A43:C43" si="38">A21</f>
        <v>Rahandusministeerium</v>
      </c>
      <c r="B43" s="188">
        <f t="shared" si="38"/>
        <v>167</v>
      </c>
      <c r="C43" s="188" t="str">
        <f t="shared" si="38"/>
        <v>Tallinna LV omandi- ja maareformi menetlustoimikute arhiveerimine</v>
      </c>
      <c r="D43" s="190">
        <f t="shared" ref="D43:I43" si="39">ROUND(D21/1000,0)</f>
        <v>30</v>
      </c>
      <c r="E43" s="190">
        <f t="shared" si="39"/>
        <v>0</v>
      </c>
      <c r="F43" s="190">
        <f t="shared" si="39"/>
        <v>30</v>
      </c>
      <c r="G43" s="190">
        <f t="shared" si="39"/>
        <v>0</v>
      </c>
      <c r="H43" s="190">
        <f t="shared" si="39"/>
        <v>0</v>
      </c>
      <c r="I43" s="190">
        <f t="shared" si="39"/>
        <v>0</v>
      </c>
    </row>
    <row r="44" spans="1:9" x14ac:dyDescent="0.35">
      <c r="A44" s="188" t="str">
        <f t="shared" ref="A44:C44" si="40">A22</f>
        <v>Kokku</v>
      </c>
      <c r="B44" s="188">
        <f t="shared" si="40"/>
        <v>0</v>
      </c>
      <c r="C44" s="188">
        <f t="shared" si="40"/>
        <v>0</v>
      </c>
      <c r="D44" s="190">
        <f t="shared" ref="D44:I44" si="41">ROUND(D22/1000,0)</f>
        <v>8443</v>
      </c>
      <c r="E44" s="190">
        <f t="shared" si="41"/>
        <v>2081</v>
      </c>
      <c r="F44" s="190">
        <f t="shared" si="41"/>
        <v>5279</v>
      </c>
      <c r="G44" s="190">
        <f t="shared" si="41"/>
        <v>5244</v>
      </c>
      <c r="H44" s="190">
        <f t="shared" si="41"/>
        <v>0</v>
      </c>
      <c r="I44" s="190">
        <f t="shared" si="41"/>
        <v>0</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49226-457A-4371-965F-A3AC672828C4}">
  <dimension ref="A1:M45"/>
  <sheetViews>
    <sheetView workbookViewId="0">
      <selection activeCell="H29" sqref="H29"/>
    </sheetView>
  </sheetViews>
  <sheetFormatPr defaultRowHeight="14.5" x14ac:dyDescent="0.35"/>
  <cols>
    <col min="1" max="1" width="51.7265625" customWidth="1"/>
    <col min="2" max="2" width="20.26953125" customWidth="1"/>
    <col min="3" max="3" width="13.54296875" bestFit="1" customWidth="1"/>
    <col min="4" max="4" width="25.26953125" customWidth="1"/>
    <col min="7" max="7" width="27.26953125" customWidth="1"/>
    <col min="8" max="8" width="18.7265625" customWidth="1"/>
    <col min="10" max="10" width="18.1796875" customWidth="1"/>
    <col min="11" max="11" width="18.7265625" customWidth="1"/>
    <col min="13" max="13" width="14.26953125" bestFit="1" customWidth="1"/>
  </cols>
  <sheetData>
    <row r="1" spans="1:13" x14ac:dyDescent="0.35">
      <c r="A1" t="s">
        <v>1032</v>
      </c>
      <c r="B1" s="68">
        <f>B16+B18+B20</f>
        <v>0</v>
      </c>
      <c r="D1" s="69"/>
      <c r="E1" s="69"/>
      <c r="G1" t="s">
        <v>923</v>
      </c>
      <c r="H1" s="68"/>
      <c r="K1" s="2"/>
    </row>
    <row r="2" spans="1:13" x14ac:dyDescent="0.35">
      <c r="B2" s="68" t="s">
        <v>154</v>
      </c>
      <c r="D2" s="69"/>
      <c r="E2" s="69"/>
      <c r="H2" s="68" t="s">
        <v>154</v>
      </c>
      <c r="K2" s="2"/>
    </row>
    <row r="3" spans="1:13" x14ac:dyDescent="0.35">
      <c r="A3" s="54" t="s">
        <v>998</v>
      </c>
      <c r="B3" s="70"/>
      <c r="D3" s="71" t="s">
        <v>155</v>
      </c>
      <c r="E3" s="38">
        <f>ROUND(B3/1000,0)</f>
        <v>0</v>
      </c>
      <c r="G3" s="54" t="s">
        <v>155</v>
      </c>
      <c r="H3" s="70">
        <v>-8783654392.6800003</v>
      </c>
      <c r="J3" s="72" t="s">
        <v>155</v>
      </c>
      <c r="K3" s="38">
        <f>ROUND(H3/1000,0)</f>
        <v>-8783654</v>
      </c>
      <c r="M3" s="26"/>
    </row>
    <row r="4" spans="1:13" x14ac:dyDescent="0.35">
      <c r="A4" s="54" t="s">
        <v>156</v>
      </c>
      <c r="B4" s="70"/>
      <c r="D4" s="71" t="s">
        <v>156</v>
      </c>
      <c r="E4" s="38">
        <f t="shared" ref="E4:E24" si="0">ROUND(B4/1000,0)</f>
        <v>0</v>
      </c>
      <c r="G4" s="54" t="s">
        <v>156</v>
      </c>
      <c r="H4" s="70">
        <v>8121014556.9200001</v>
      </c>
      <c r="J4" s="72" t="s">
        <v>156</v>
      </c>
      <c r="K4" s="38">
        <f t="shared" ref="K4:K23" si="1">ROUND(H4/1000,0)</f>
        <v>8121015</v>
      </c>
      <c r="M4" s="26"/>
    </row>
    <row r="5" spans="1:13" x14ac:dyDescent="0.35">
      <c r="A5" s="54" t="s">
        <v>877</v>
      </c>
      <c r="B5" s="70"/>
      <c r="D5" s="71" t="s">
        <v>877</v>
      </c>
      <c r="E5" s="38">
        <f t="shared" si="0"/>
        <v>0</v>
      </c>
      <c r="G5" s="54" t="s">
        <v>157</v>
      </c>
      <c r="H5" s="70">
        <v>-125000000</v>
      </c>
      <c r="J5" s="72" t="s">
        <v>157</v>
      </c>
      <c r="K5" s="38">
        <f t="shared" si="1"/>
        <v>-125000</v>
      </c>
      <c r="M5" s="26"/>
    </row>
    <row r="6" spans="1:13" x14ac:dyDescent="0.35">
      <c r="A6" s="54" t="s">
        <v>158</v>
      </c>
      <c r="B6" s="70"/>
      <c r="D6" s="71" t="s">
        <v>158</v>
      </c>
      <c r="E6" s="38">
        <f t="shared" si="0"/>
        <v>0</v>
      </c>
      <c r="G6" s="54" t="s">
        <v>158</v>
      </c>
      <c r="H6" s="70">
        <f>-221676.61-197143.11-28556.68-70000000</f>
        <v>-70447376.400000006</v>
      </c>
      <c r="J6" s="72" t="s">
        <v>158</v>
      </c>
      <c r="K6" s="38">
        <f t="shared" si="1"/>
        <v>-70447</v>
      </c>
    </row>
    <row r="7" spans="1:13" x14ac:dyDescent="0.35">
      <c r="A7" s="54" t="s">
        <v>159</v>
      </c>
      <c r="B7" s="70"/>
      <c r="D7" s="71" t="s">
        <v>159</v>
      </c>
      <c r="E7" s="38">
        <f t="shared" si="0"/>
        <v>0</v>
      </c>
      <c r="G7" s="54" t="s">
        <v>159</v>
      </c>
      <c r="H7" s="70">
        <f>-7000000-5000000</f>
        <v>-12000000</v>
      </c>
      <c r="J7" s="72" t="s">
        <v>159</v>
      </c>
      <c r="K7" s="38">
        <f t="shared" si="1"/>
        <v>-12000</v>
      </c>
      <c r="M7" s="26"/>
    </row>
    <row r="8" spans="1:13" x14ac:dyDescent="0.35">
      <c r="A8" s="54" t="s">
        <v>160</v>
      </c>
      <c r="B8" s="70"/>
      <c r="D8" s="71" t="s">
        <v>160</v>
      </c>
      <c r="E8" s="38">
        <f t="shared" si="0"/>
        <v>0</v>
      </c>
      <c r="G8" s="54" t="s">
        <v>160</v>
      </c>
      <c r="H8" s="70">
        <f>585073.57+270183.62+44839558</f>
        <v>45694815.189999998</v>
      </c>
      <c r="J8" s="72" t="s">
        <v>160</v>
      </c>
      <c r="K8" s="38">
        <f t="shared" si="1"/>
        <v>45695</v>
      </c>
      <c r="M8" s="26"/>
    </row>
    <row r="9" spans="1:13" x14ac:dyDescent="0.35">
      <c r="A9" s="54" t="s">
        <v>161</v>
      </c>
      <c r="B9" s="70"/>
      <c r="D9" s="71" t="s">
        <v>161</v>
      </c>
      <c r="E9" s="38">
        <f t="shared" si="0"/>
        <v>0</v>
      </c>
      <c r="G9" s="54" t="s">
        <v>161</v>
      </c>
      <c r="H9" s="70">
        <v>-3801085.11</v>
      </c>
      <c r="J9" s="72" t="s">
        <v>161</v>
      </c>
      <c r="K9" s="38">
        <f t="shared" si="1"/>
        <v>-3801</v>
      </c>
    </row>
    <row r="10" spans="1:13" x14ac:dyDescent="0.35">
      <c r="A10" s="54" t="s">
        <v>778</v>
      </c>
      <c r="B10" s="70"/>
      <c r="C10" s="26"/>
      <c r="D10" s="71" t="s">
        <v>778</v>
      </c>
      <c r="E10" s="38">
        <f t="shared" si="0"/>
        <v>0</v>
      </c>
      <c r="G10" s="54"/>
      <c r="H10" s="70">
        <v>3590130.37</v>
      </c>
      <c r="J10" s="72"/>
      <c r="K10" s="38">
        <f t="shared" si="1"/>
        <v>3590</v>
      </c>
      <c r="M10" s="26"/>
    </row>
    <row r="11" spans="1:13" x14ac:dyDescent="0.35">
      <c r="A11" s="54" t="s">
        <v>162</v>
      </c>
      <c r="B11" s="70"/>
      <c r="D11" s="71" t="s">
        <v>162</v>
      </c>
      <c r="E11" s="38">
        <f t="shared" si="0"/>
        <v>0</v>
      </c>
      <c r="G11" s="54" t="s">
        <v>162</v>
      </c>
      <c r="H11" s="70">
        <v>-12130000</v>
      </c>
      <c r="J11" s="72" t="s">
        <v>162</v>
      </c>
      <c r="K11" s="38">
        <f t="shared" si="1"/>
        <v>-12130</v>
      </c>
    </row>
    <row r="12" spans="1:13" x14ac:dyDescent="0.35">
      <c r="A12" s="54" t="s">
        <v>163</v>
      </c>
      <c r="B12" s="70"/>
      <c r="C12" s="26"/>
      <c r="D12" s="71" t="s">
        <v>163</v>
      </c>
      <c r="E12" s="38">
        <f t="shared" si="0"/>
        <v>0</v>
      </c>
      <c r="G12" s="54" t="s">
        <v>163</v>
      </c>
      <c r="H12" s="70">
        <f>89312606.58+5590000</f>
        <v>94902606.579999998</v>
      </c>
      <c r="J12" s="72" t="s">
        <v>163</v>
      </c>
      <c r="K12" s="38">
        <f t="shared" si="1"/>
        <v>94903</v>
      </c>
    </row>
    <row r="13" spans="1:13" x14ac:dyDescent="0.35">
      <c r="A13" s="54" t="s">
        <v>906</v>
      </c>
      <c r="B13" s="70"/>
      <c r="D13" s="71" t="s">
        <v>165</v>
      </c>
      <c r="E13" s="38">
        <f t="shared" si="0"/>
        <v>0</v>
      </c>
      <c r="G13" s="54" t="s">
        <v>164</v>
      </c>
      <c r="H13" s="70">
        <f>-60773.93-42733.71</f>
        <v>-103507.64</v>
      </c>
      <c r="J13" s="72" t="s">
        <v>165</v>
      </c>
      <c r="K13" s="38">
        <f t="shared" si="1"/>
        <v>-104</v>
      </c>
    </row>
    <row r="14" spans="1:13" x14ac:dyDescent="0.35">
      <c r="A14" s="54" t="s">
        <v>166</v>
      </c>
      <c r="B14" s="70"/>
      <c r="C14" s="26"/>
      <c r="D14" s="71" t="s">
        <v>166</v>
      </c>
      <c r="E14" s="38">
        <f t="shared" si="0"/>
        <v>0</v>
      </c>
      <c r="G14" s="54" t="s">
        <v>166</v>
      </c>
      <c r="H14" s="70">
        <f>10018789.1+1435979.69</f>
        <v>11454768.789999999</v>
      </c>
      <c r="I14" t="s">
        <v>167</v>
      </c>
      <c r="J14" s="72" t="s">
        <v>166</v>
      </c>
      <c r="K14" s="38">
        <f t="shared" si="1"/>
        <v>11455</v>
      </c>
    </row>
    <row r="15" spans="1:13" x14ac:dyDescent="0.35">
      <c r="A15" s="54" t="s">
        <v>168</v>
      </c>
      <c r="B15" s="70"/>
      <c r="D15" s="71" t="s">
        <v>168</v>
      </c>
      <c r="E15" s="38">
        <f t="shared" si="0"/>
        <v>0</v>
      </c>
      <c r="G15" s="54" t="s">
        <v>168</v>
      </c>
      <c r="H15" s="70">
        <f>1200000000-10737517.26+2744047834.06</f>
        <v>3933310316.8000002</v>
      </c>
      <c r="J15" s="72" t="s">
        <v>168</v>
      </c>
      <c r="K15" s="38">
        <f t="shared" si="1"/>
        <v>3933310</v>
      </c>
    </row>
    <row r="16" spans="1:13" x14ac:dyDescent="0.35">
      <c r="A16" s="54" t="s">
        <v>69</v>
      </c>
      <c r="B16" s="70"/>
      <c r="D16" s="71" t="s">
        <v>69</v>
      </c>
      <c r="E16" s="38">
        <f t="shared" si="0"/>
        <v>0</v>
      </c>
      <c r="G16" s="54" t="s">
        <v>69</v>
      </c>
      <c r="H16" s="70">
        <v>-2284602159.1300001</v>
      </c>
      <c r="J16" s="72" t="s">
        <v>69</v>
      </c>
      <c r="K16" s="38">
        <f t="shared" si="1"/>
        <v>-2284602</v>
      </c>
    </row>
    <row r="17" spans="1:13" x14ac:dyDescent="0.35">
      <c r="A17" s="54" t="s">
        <v>169</v>
      </c>
      <c r="B17" s="70"/>
      <c r="D17" s="71" t="s">
        <v>169</v>
      </c>
      <c r="E17" s="38">
        <f t="shared" si="0"/>
        <v>0</v>
      </c>
      <c r="G17" s="54" t="s">
        <v>169</v>
      </c>
      <c r="H17" s="70">
        <v>0</v>
      </c>
      <c r="J17" s="72" t="s">
        <v>169</v>
      </c>
      <c r="K17" s="38">
        <f t="shared" si="1"/>
        <v>0</v>
      </c>
    </row>
    <row r="18" spans="1:13" x14ac:dyDescent="0.35">
      <c r="A18" s="54" t="s">
        <v>70</v>
      </c>
      <c r="B18" s="70"/>
      <c r="D18" s="71" t="s">
        <v>70</v>
      </c>
      <c r="E18" s="38">
        <f>ROUND(B18/1000,0)</f>
        <v>0</v>
      </c>
      <c r="G18" s="54" t="s">
        <v>70</v>
      </c>
      <c r="H18" s="70">
        <f>-67972972.96-100000000</f>
        <v>-167972972.95999998</v>
      </c>
      <c r="J18" s="72" t="s">
        <v>70</v>
      </c>
      <c r="K18" s="38">
        <f t="shared" si="1"/>
        <v>-167973</v>
      </c>
    </row>
    <row r="19" spans="1:13" x14ac:dyDescent="0.35">
      <c r="A19" s="54" t="s">
        <v>170</v>
      </c>
      <c r="B19" s="70"/>
      <c r="D19" s="71" t="s">
        <v>170</v>
      </c>
      <c r="E19" s="38">
        <f t="shared" si="0"/>
        <v>0</v>
      </c>
      <c r="G19" s="54" t="s">
        <v>170</v>
      </c>
      <c r="H19" s="70">
        <v>0</v>
      </c>
      <c r="J19" s="72" t="s">
        <v>170</v>
      </c>
      <c r="K19" s="38">
        <f t="shared" si="1"/>
        <v>0</v>
      </c>
      <c r="M19" s="26"/>
    </row>
    <row r="20" spans="1:13" x14ac:dyDescent="0.35">
      <c r="A20" s="54" t="s">
        <v>171</v>
      </c>
      <c r="B20" s="70"/>
      <c r="C20" s="26"/>
      <c r="D20" s="71" t="s">
        <v>171</v>
      </c>
      <c r="E20" s="38">
        <f t="shared" si="0"/>
        <v>0</v>
      </c>
      <c r="G20" s="54" t="s">
        <v>171</v>
      </c>
      <c r="H20" s="70">
        <v>-25342.47</v>
      </c>
      <c r="J20" s="72" t="s">
        <v>171</v>
      </c>
      <c r="K20" s="38">
        <f t="shared" si="1"/>
        <v>-25</v>
      </c>
      <c r="M20" s="26"/>
    </row>
    <row r="21" spans="1:13" x14ac:dyDescent="0.35">
      <c r="A21" s="54" t="s">
        <v>172</v>
      </c>
      <c r="B21" s="70"/>
      <c r="D21" s="71" t="s">
        <v>172</v>
      </c>
      <c r="E21" s="38">
        <f t="shared" si="0"/>
        <v>0</v>
      </c>
      <c r="G21" s="54" t="s">
        <v>172</v>
      </c>
      <c r="H21" s="70">
        <v>78942345.00999999</v>
      </c>
      <c r="J21" s="72" t="s">
        <v>172</v>
      </c>
      <c r="K21" s="38">
        <f t="shared" si="1"/>
        <v>78942</v>
      </c>
    </row>
    <row r="22" spans="1:13" x14ac:dyDescent="0.35">
      <c r="A22" s="54" t="s">
        <v>999</v>
      </c>
      <c r="B22" s="70"/>
      <c r="D22" s="71" t="s">
        <v>868</v>
      </c>
      <c r="E22" s="38">
        <f t="shared" si="0"/>
        <v>0</v>
      </c>
      <c r="G22" s="54" t="s">
        <v>868</v>
      </c>
      <c r="H22" s="70">
        <v>-673197.58</v>
      </c>
      <c r="J22" s="71" t="s">
        <v>868</v>
      </c>
      <c r="K22" s="38">
        <f t="shared" si="1"/>
        <v>-673</v>
      </c>
    </row>
    <row r="23" spans="1:13" x14ac:dyDescent="0.35">
      <c r="A23" s="54" t="s">
        <v>173</v>
      </c>
      <c r="B23" s="70"/>
      <c r="D23" s="71" t="s">
        <v>173</v>
      </c>
      <c r="E23" s="38">
        <f t="shared" si="0"/>
        <v>0</v>
      </c>
      <c r="G23" s="54" t="s">
        <v>173</v>
      </c>
      <c r="H23" s="70">
        <f>-tulud!J26</f>
        <v>-5575.32</v>
      </c>
      <c r="J23" s="72"/>
      <c r="K23" s="38">
        <f t="shared" si="1"/>
        <v>-6</v>
      </c>
    </row>
    <row r="24" spans="1:13" x14ac:dyDescent="0.35">
      <c r="A24" s="54" t="s">
        <v>79</v>
      </c>
      <c r="B24" s="73">
        <f>SUM(B3:B23)</f>
        <v>0</v>
      </c>
      <c r="D24" s="71" t="s">
        <v>79</v>
      </c>
      <c r="E24" s="44">
        <f t="shared" si="0"/>
        <v>0</v>
      </c>
      <c r="G24" s="54" t="s">
        <v>79</v>
      </c>
      <c r="H24" s="73">
        <f>SUM(H3:H23)</f>
        <v>828493930.36999941</v>
      </c>
      <c r="J24" s="74" t="s">
        <v>79</v>
      </c>
      <c r="K24" s="44">
        <f t="shared" ref="K24" si="2">ROUND(H24/1000,0)</f>
        <v>828494</v>
      </c>
    </row>
    <row r="25" spans="1:13" x14ac:dyDescent="0.35">
      <c r="A25" s="28"/>
      <c r="B25" s="68"/>
      <c r="D25" s="69"/>
      <c r="E25" s="69"/>
      <c r="G25" s="28"/>
      <c r="H25" s="68"/>
      <c r="K25" s="2"/>
    </row>
    <row r="26" spans="1:13" x14ac:dyDescent="0.35">
      <c r="A26" s="28"/>
      <c r="B26" s="68">
        <f>B24-B32-B33-B34-B35-B37-B38-B39</f>
        <v>0</v>
      </c>
      <c r="D26" s="69"/>
      <c r="E26" s="69"/>
      <c r="G26" s="28"/>
      <c r="H26" s="68">
        <f>H24-H32-H33-H34-H35-H37-H38-H39</f>
        <v>790663133.7699995</v>
      </c>
      <c r="K26" s="2"/>
    </row>
    <row r="27" spans="1:13" x14ac:dyDescent="0.35">
      <c r="A27" s="28" t="s">
        <v>174</v>
      </c>
      <c r="B27" s="68">
        <f>H28</f>
        <v>1590819561.54</v>
      </c>
      <c r="D27" s="69"/>
      <c r="E27" s="69"/>
      <c r="G27" s="28" t="s">
        <v>174</v>
      </c>
      <c r="H27" s="68">
        <v>1428223964.1099999</v>
      </c>
      <c r="K27" s="2"/>
    </row>
    <row r="28" spans="1:13" x14ac:dyDescent="0.35">
      <c r="A28" s="28" t="s">
        <v>175</v>
      </c>
      <c r="B28" s="68">
        <v>1590819561.54</v>
      </c>
      <c r="D28" s="69"/>
      <c r="E28" s="69"/>
      <c r="G28" s="28" t="s">
        <v>175</v>
      </c>
      <c r="H28" s="68">
        <v>1590819561.54</v>
      </c>
      <c r="K28" s="2"/>
    </row>
    <row r="29" spans="1:13" x14ac:dyDescent="0.35">
      <c r="A29" s="28" t="s">
        <v>176</v>
      </c>
      <c r="B29" s="68">
        <f>B28-B27</f>
        <v>0</v>
      </c>
      <c r="D29" s="69"/>
      <c r="E29" s="69"/>
      <c r="G29" s="28" t="s">
        <v>176</v>
      </c>
      <c r="H29" s="68">
        <f>H28-H27</f>
        <v>162595597.43000007</v>
      </c>
      <c r="K29" s="2"/>
    </row>
    <row r="30" spans="1:13" x14ac:dyDescent="0.35">
      <c r="B30" s="68"/>
      <c r="D30" s="69"/>
      <c r="E30" s="69"/>
      <c r="H30" s="68"/>
      <c r="K30" s="2"/>
    </row>
    <row r="31" spans="1:13" x14ac:dyDescent="0.35">
      <c r="A31" s="28" t="s">
        <v>177</v>
      </c>
      <c r="B31" s="68"/>
      <c r="D31" s="69"/>
      <c r="E31" s="69"/>
      <c r="G31" s="28" t="s">
        <v>177</v>
      </c>
      <c r="H31" s="68"/>
      <c r="K31" s="2"/>
    </row>
    <row r="32" spans="1:13" x14ac:dyDescent="0.35">
      <c r="A32" s="29" t="s">
        <v>178</v>
      </c>
      <c r="B32" s="68"/>
      <c r="D32" s="69"/>
      <c r="E32" s="69"/>
      <c r="G32" s="29" t="s">
        <v>178</v>
      </c>
      <c r="H32" s="68">
        <f>99589.48+61604.79+83827.25</f>
        <v>245021.52</v>
      </c>
      <c r="I32" t="s">
        <v>1017</v>
      </c>
      <c r="K32" s="2"/>
    </row>
    <row r="33" spans="1:11" x14ac:dyDescent="0.35">
      <c r="A33" s="29" t="s">
        <v>179</v>
      </c>
      <c r="B33" s="26"/>
      <c r="C33" s="26"/>
      <c r="D33" s="76"/>
      <c r="E33" s="69"/>
      <c r="G33" s="29" t="s">
        <v>179</v>
      </c>
      <c r="H33" s="26">
        <f>8176222.6-1203577.71</f>
        <v>6972644.8899999997</v>
      </c>
      <c r="K33" s="2"/>
    </row>
    <row r="34" spans="1:11" ht="15.5" x14ac:dyDescent="0.35">
      <c r="A34" t="s">
        <v>914</v>
      </c>
      <c r="B34" s="26"/>
      <c r="D34" s="69"/>
      <c r="E34" s="69"/>
      <c r="G34" t="s">
        <v>180</v>
      </c>
      <c r="H34" s="26">
        <v>1402465.32</v>
      </c>
      <c r="I34" s="75"/>
      <c r="J34" s="75"/>
      <c r="K34" s="75"/>
    </row>
    <row r="35" spans="1:11" x14ac:dyDescent="0.35">
      <c r="A35" t="s">
        <v>181</v>
      </c>
      <c r="B35" s="26"/>
      <c r="D35" s="69"/>
      <c r="E35" s="69"/>
      <c r="G35" t="s">
        <v>181</v>
      </c>
      <c r="H35" s="26">
        <f>-1980609.52-6775915.47+3378484.5</f>
        <v>-5378040.4900000002</v>
      </c>
      <c r="K35" s="2"/>
    </row>
    <row r="36" spans="1:11" x14ac:dyDescent="0.35">
      <c r="A36" t="s">
        <v>182</v>
      </c>
      <c r="B36" s="26"/>
      <c r="D36" s="69"/>
      <c r="E36" s="69"/>
      <c r="G36" t="s">
        <v>182</v>
      </c>
      <c r="H36" s="26">
        <v>0</v>
      </c>
      <c r="K36" s="2"/>
    </row>
    <row r="37" spans="1:11" x14ac:dyDescent="0.35">
      <c r="A37" t="s">
        <v>870</v>
      </c>
      <c r="B37" s="26"/>
      <c r="D37" s="76"/>
      <c r="E37" s="69"/>
      <c r="G37" t="s">
        <v>183</v>
      </c>
      <c r="H37" s="26">
        <f>61822.76+61758.91+425551.73+3102413-302916-1560185</f>
        <v>1788445.4</v>
      </c>
      <c r="K37" s="2"/>
    </row>
    <row r="38" spans="1:11" x14ac:dyDescent="0.35">
      <c r="A38" t="s">
        <v>869</v>
      </c>
      <c r="B38" s="26"/>
      <c r="D38" s="76"/>
      <c r="E38" s="69"/>
      <c r="G38" t="s">
        <v>869</v>
      </c>
      <c r="H38" s="26">
        <f>1067296.87+28567310.05+664229.45+5740324.3</f>
        <v>36039160.670000002</v>
      </c>
      <c r="K38" s="2"/>
    </row>
    <row r="39" spans="1:11" x14ac:dyDescent="0.35">
      <c r="A39" t="s">
        <v>1000</v>
      </c>
      <c r="B39" s="26"/>
      <c r="D39" s="69"/>
      <c r="E39" s="69"/>
      <c r="G39" t="s">
        <v>781</v>
      </c>
      <c r="H39" s="26">
        <v>-3238900.71</v>
      </c>
      <c r="K39" s="2"/>
    </row>
    <row r="40" spans="1:11" x14ac:dyDescent="0.35">
      <c r="A40" t="s">
        <v>184</v>
      </c>
      <c r="B40" s="26"/>
      <c r="D40" s="69"/>
      <c r="E40" s="69"/>
      <c r="G40" t="s">
        <v>184</v>
      </c>
      <c r="H40" s="26">
        <v>-1444750.9</v>
      </c>
      <c r="K40" s="2"/>
    </row>
    <row r="41" spans="1:11" x14ac:dyDescent="0.35">
      <c r="A41" t="s">
        <v>185</v>
      </c>
      <c r="B41" s="26"/>
      <c r="D41" s="69"/>
      <c r="E41" s="69"/>
      <c r="G41" t="s">
        <v>185</v>
      </c>
      <c r="H41" s="26">
        <v>0</v>
      </c>
      <c r="K41" s="2"/>
    </row>
    <row r="42" spans="1:11" x14ac:dyDescent="0.35">
      <c r="A42" t="s">
        <v>186</v>
      </c>
      <c r="B42" s="26"/>
      <c r="D42" s="69"/>
      <c r="E42" s="69"/>
      <c r="G42" t="s">
        <v>186</v>
      </c>
      <c r="H42" s="26">
        <v>518051.75</v>
      </c>
      <c r="K42" s="2"/>
    </row>
    <row r="43" spans="1:11" x14ac:dyDescent="0.35">
      <c r="A43" t="s">
        <v>789</v>
      </c>
      <c r="B43" s="26"/>
      <c r="G43" t="s">
        <v>789</v>
      </c>
      <c r="H43" s="26">
        <v>0</v>
      </c>
    </row>
    <row r="44" spans="1:11" x14ac:dyDescent="0.35">
      <c r="A44" t="s">
        <v>871</v>
      </c>
      <c r="B44" s="26"/>
      <c r="G44" t="s">
        <v>871</v>
      </c>
      <c r="H44" s="26">
        <v>-249730.11</v>
      </c>
    </row>
    <row r="45" spans="1:11" x14ac:dyDescent="0.35">
      <c r="A45" t="s">
        <v>32</v>
      </c>
      <c r="B45" s="26"/>
      <c r="H45" s="26">
        <v>-29571332.510000002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93E91FABE94BE4CA50E06787B85AB13" ma:contentTypeVersion="20" ma:contentTypeDescription="Loo uus dokument" ma:contentTypeScope="" ma:versionID="82d9272021f7e866dad131b3f3e0b2bf">
  <xsd:schema xmlns:xsd="http://www.w3.org/2001/XMLSchema" xmlns:xs="http://www.w3.org/2001/XMLSchema" xmlns:p="http://schemas.microsoft.com/office/2006/metadata/properties" xmlns:ns2="4ef69ebd-a3b4-40e8-8ee7-36ccf8960234" xmlns:ns3="e5f4e9e3-1714-4860-8510-4efb9f6633f0" targetNamespace="http://schemas.microsoft.com/office/2006/metadata/properties" ma:root="true" ma:fieldsID="3c9b910d8065154eeaae32f5a387f719" ns2:_="" ns3:_="">
    <xsd:import namespace="4ef69ebd-a3b4-40e8-8ee7-36ccf8960234"/>
    <xsd:import namespace="e5f4e9e3-1714-4860-8510-4efb9f6633f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Kataloogiomanik" minOccurs="0"/>
                <xsd:element ref="ns2:Kataloogiomanik_x002a_"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f69ebd-a3b4-40e8-8ee7-36ccf8960234"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SearchProperties" ma:index="6" nillable="true" ma:displayName="MediaServiceSearchProperties" ma:hidden="true" ma:internalName="MediaServiceSearchProperties" ma:readOnly="true">
      <xsd:simpleType>
        <xsd:restriction base="dms:Note"/>
      </xsd:simpleType>
    </xsd:element>
    <xsd:element name="lcf76f155ced4ddcb4097134ff3c332f" ma:index="8" nillable="true" ma:taxonomy="true" ma:internalName="lcf76f155ced4ddcb4097134ff3c332f" ma:taxonomyFieldName="MediaServiceImageTags" ma:displayName="Pildisildid"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Kataloogiomanik" ma:index="15" nillable="true" ma:displayName="Kataloogi omanik" ma:list="UserInfo" ma:SharePointGroup="0" ma:internalName="Kataloogiomanik"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ataloogiomanik_x002a_" ma:index="16" nillable="true" ma:displayName="Kataloogi omanik*" ma:list="UserInfo" ma:SearchPeopleOnly="false" ma:SharePointGroup="0" ma:internalName="Kataloogiomanik_x002a_"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5f4e9e3-1714-4860-8510-4efb9f6633f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42e6cd9c-1a88-4b1c-95f6-74b573ba611f}" ma:internalName="TaxCatchAll" ma:showField="CatchAllData" ma:web="e5f4e9e3-1714-4860-8510-4efb9f6633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Sisutüüp"/>
        <xsd:element ref="dc:title" minOccurs="0" maxOccurs="1" ma:index="3"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ef69ebd-a3b4-40e8-8ee7-36ccf8960234">
      <Terms xmlns="http://schemas.microsoft.com/office/infopath/2007/PartnerControls"/>
    </lcf76f155ced4ddcb4097134ff3c332f>
    <TaxCatchAll xmlns="e5f4e9e3-1714-4860-8510-4efb9f6633f0" xsi:nil="true"/>
    <Kataloogiomanik xmlns="4ef69ebd-a3b4-40e8-8ee7-36ccf8960234">
      <UserInfo>
        <DisplayName/>
        <AccountId xsi:nil="true"/>
        <AccountType/>
      </UserInfo>
    </Kataloogiomanik>
    <Kataloogiomanik_x002a_ xmlns="4ef69ebd-a3b4-40e8-8ee7-36ccf8960234">
      <UserInfo>
        <DisplayName/>
        <AccountId xsi:nil="true"/>
        <AccountType/>
      </UserInfo>
    </Kataloogiomanik_x002a_>
  </documentManagement>
</p:properties>
</file>

<file path=customXml/itemProps1.xml><?xml version="1.0" encoding="utf-8"?>
<ds:datastoreItem xmlns:ds="http://schemas.openxmlformats.org/officeDocument/2006/customXml" ds:itemID="{E61EDD7F-92C9-4FEC-BA88-52B9D56AEF35}"/>
</file>

<file path=customXml/itemProps2.xml><?xml version="1.0" encoding="utf-8"?>
<ds:datastoreItem xmlns:ds="http://schemas.openxmlformats.org/officeDocument/2006/customXml" ds:itemID="{2659BDAA-ADF1-42C4-859D-343586626A04}">
  <ds:schemaRefs>
    <ds:schemaRef ds:uri="http://schemas.microsoft.com/sharepoint/v3/contenttype/forms"/>
  </ds:schemaRefs>
</ds:datastoreItem>
</file>

<file path=customXml/itemProps3.xml><?xml version="1.0" encoding="utf-8"?>
<ds:datastoreItem xmlns:ds="http://schemas.openxmlformats.org/officeDocument/2006/customXml" ds:itemID="{F88DFF76-8CCB-4225-A00E-7C13B263519B}">
  <ds:schemaRefs>
    <ds:schemaRef ds:uri="http://purl.org/dc/terms/"/>
    <ds:schemaRef ds:uri="http://www.w3.org/XML/1998/namespace"/>
    <ds:schemaRef ds:uri="http://purl.org/dc/dcmitype/"/>
    <ds:schemaRef ds:uri="b8a1d2b4-14fc-4346-bc33-b5e3ce352a93"/>
    <ds:schemaRef ds:uri="http://schemas.microsoft.com/office/infopath/2007/PartnerControls"/>
    <ds:schemaRef ds:uri="http://schemas.microsoft.com/office/2006/documentManagement/types"/>
    <ds:schemaRef ds:uri="http://schemas.openxmlformats.org/package/2006/metadata/core-properties"/>
    <ds:schemaRef ds:uri="19db9c30-584d-4ad5-9af0-9aa7f98fdc73"/>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13</vt:i4>
      </vt:variant>
    </vt:vector>
  </HeadingPairs>
  <TitlesOfParts>
    <vt:vector size="13" baseType="lpstr">
      <vt:lpstr>RETA aruanne</vt:lpstr>
      <vt:lpstr>lisa1 Lõpliku ea kujunemine</vt:lpstr>
      <vt:lpstr>lisa2 Detailne kulude jaotus</vt:lpstr>
      <vt:lpstr>Lisa3 RE ja TA võrdlus</vt:lpstr>
      <vt:lpstr>yleviimised</vt:lpstr>
      <vt:lpstr>SR</vt:lpstr>
      <vt:lpstr>VR</vt:lpstr>
      <vt:lpstr>OR</vt:lpstr>
      <vt:lpstr>finteh</vt:lpstr>
      <vt:lpstr>bilansid</vt:lpstr>
      <vt:lpstr>tulud</vt:lpstr>
      <vt:lpstr>aavordlus</vt:lpstr>
      <vt:lpstr>valalavordlus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Juta Maar</dc:creator>
  <cp:lastModifiedBy>Merju Künnapuu - KUM</cp:lastModifiedBy>
  <dcterms:created xsi:type="dcterms:W3CDTF">2022-02-14T16:37:54Z</dcterms:created>
  <dcterms:modified xsi:type="dcterms:W3CDTF">2026-07-07T05:05:56Z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2025-05-15T14:01:08Z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8fe098d2-428d-4bd4-9803-7195fe96f0e2</vt:lpwstr>
  </property>
  <property fmtid="{D5CDD505-2E9C-101B-9397-08002B2CF9AE}" pid="7" name="MSIP_Label_defa4170-0d19-0005-0004-bc88714345d2_ActionId">
    <vt:lpwstr>4b5872ad-0275-42f8-b861-6180ced29fc8</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y fmtid="{D5CDD505-2E9C-101B-9397-08002B2CF9AE}" pid="10" name="ContentTypeId">
    <vt:lpwstr>0x010100C93E91FABE94BE4CA50E06787B85AB13</vt:lpwstr>
  </property>
  <property fmtid="{D5CDD505-2E9C-101B-9397-08002B2CF9AE}" pid="11" name="MediaServiceImageTags">
    <vt:lpwstr/>
  </property>
</Properties>
</file>